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ir\Desktop\"/>
    </mc:Choice>
  </mc:AlternateContent>
  <xr:revisionPtr revIDLastSave="0" documentId="13_ncr:1_{AA5E12A7-CFC2-4AE2-BF72-4A975628A7E5}" xr6:coauthVersionLast="47" xr6:coauthVersionMax="47" xr10:uidLastSave="{00000000-0000-0000-0000-000000000000}"/>
  <bookViews>
    <workbookView xWindow="-120" yWindow="-120" windowWidth="29040" windowHeight="15720" tabRatio="882" xr2:uid="{00000000-000D-0000-FFFF-FFFF00000000}"/>
  </bookViews>
  <sheets>
    <sheet name="מחיר מטרה" sheetId="18" r:id="rId1"/>
    <sheet name="יחס יח&quot;ד בביניינים" sheetId="19" r:id="rId2"/>
  </sheets>
  <externalReferences>
    <externalReference r:id="rId3"/>
  </externalReferences>
  <definedNames>
    <definedName name="_xlnm._FilterDatabase" localSheetId="0" hidden="1">'מחיר מטרה'!$A$12:$AH$170</definedName>
    <definedName name="_xlnm.Print_Area" localSheetId="0">'מחיר מטרה'!$A$1:$T$179</definedName>
    <definedName name="גינות" localSheetId="0">[1]!טבלה9[#All]</definedName>
    <definedName name="חניות_מחסנים_101_1">#REF!</definedName>
    <definedName name="חניות_מחסנים_101_2">#REF!</definedName>
    <definedName name="טיפוס_A">[1]!Table2[#All]</definedName>
    <definedName name="טיפוסי_דירות" localSheetId="0">[1]!טבלה2[#All]</definedName>
    <definedName name="מרפסות_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8" l="1"/>
  <c r="O9" i="18"/>
  <c r="W30" i="18"/>
  <c r="X14" i="18"/>
  <c r="W13" i="18"/>
  <c r="V14" i="18"/>
  <c r="X27" i="18"/>
  <c r="Y14" i="18" l="1"/>
  <c r="Z13" i="18"/>
  <c r="AA13" i="18" s="1"/>
  <c r="AJ2" i="18"/>
  <c r="AL2" i="18"/>
  <c r="AM2" i="18"/>
  <c r="AJ3" i="18"/>
  <c r="AL3" i="18"/>
  <c r="AJ4" i="18"/>
  <c r="AL4" i="18"/>
  <c r="AM4" i="18"/>
  <c r="AL5" i="18"/>
  <c r="AI6" i="18"/>
  <c r="AK6" i="18"/>
  <c r="D10" i="18"/>
  <c r="Z169" i="18"/>
  <c r="AA169" i="18" s="1"/>
  <c r="Z168" i="18"/>
  <c r="AA168" i="18" s="1"/>
  <c r="Z167" i="18"/>
  <c r="AA167" i="18" s="1"/>
  <c r="Z166" i="18"/>
  <c r="AA166" i="18" s="1"/>
  <c r="Z165" i="18"/>
  <c r="AA165" i="18" s="1"/>
  <c r="Z164" i="18"/>
  <c r="AA164" i="18" s="1"/>
  <c r="Z163" i="18"/>
  <c r="AA163" i="18" s="1"/>
  <c r="Z162" i="18"/>
  <c r="AA162" i="18" s="1"/>
  <c r="Z161" i="18"/>
  <c r="AA161" i="18" s="1"/>
  <c r="Z160" i="18"/>
  <c r="AA160" i="18" s="1"/>
  <c r="Z159" i="18"/>
  <c r="AA159" i="18" s="1"/>
  <c r="Z158" i="18"/>
  <c r="AA158" i="18" s="1"/>
  <c r="Z157" i="18"/>
  <c r="AA157" i="18" s="1"/>
  <c r="Z156" i="18"/>
  <c r="AA156" i="18" s="1"/>
  <c r="Z155" i="18"/>
  <c r="AA155" i="18" s="1"/>
  <c r="Z154" i="18"/>
  <c r="AA154" i="18" s="1"/>
  <c r="Z153" i="18"/>
  <c r="AA153" i="18" s="1"/>
  <c r="Z152" i="18"/>
  <c r="AA152" i="18" s="1"/>
  <c r="Z151" i="18"/>
  <c r="AA151" i="18" s="1"/>
  <c r="Z150" i="18"/>
  <c r="AA150" i="18" s="1"/>
  <c r="Z149" i="18"/>
  <c r="AA149" i="18" s="1"/>
  <c r="Z148" i="18"/>
  <c r="AA148" i="18" s="1"/>
  <c r="Z147" i="18"/>
  <c r="AA147" i="18" s="1"/>
  <c r="Z146" i="18"/>
  <c r="AA146" i="18" s="1"/>
  <c r="Z145" i="18"/>
  <c r="AA145" i="18" s="1"/>
  <c r="Z144" i="18"/>
  <c r="AA144" i="18" s="1"/>
  <c r="Z143" i="18"/>
  <c r="AA143" i="18" s="1"/>
  <c r="Z142" i="18"/>
  <c r="AA142" i="18" s="1"/>
  <c r="Z141" i="18"/>
  <c r="AA141" i="18" s="1"/>
  <c r="Z140" i="18"/>
  <c r="AA140" i="18" s="1"/>
  <c r="Z139" i="18"/>
  <c r="AA139" i="18" s="1"/>
  <c r="Z138" i="18"/>
  <c r="AA138" i="18" s="1"/>
  <c r="Z137" i="18"/>
  <c r="AA137" i="18" s="1"/>
  <c r="Z136" i="18"/>
  <c r="AA136" i="18" s="1"/>
  <c r="Z135" i="18"/>
  <c r="AA135" i="18" s="1"/>
  <c r="Z134" i="18"/>
  <c r="AA134" i="18" s="1"/>
  <c r="Z133" i="18"/>
  <c r="AA133" i="18" s="1"/>
  <c r="Z132" i="18"/>
  <c r="AA132" i="18" s="1"/>
  <c r="Z131" i="18"/>
  <c r="AA131" i="18" s="1"/>
  <c r="Z130" i="18"/>
  <c r="AA130" i="18" s="1"/>
  <c r="Z129" i="18"/>
  <c r="AA129" i="18" s="1"/>
  <c r="Z128" i="18"/>
  <c r="AA128" i="18" s="1"/>
  <c r="Z127" i="18"/>
  <c r="AA127" i="18" s="1"/>
  <c r="Z126" i="18"/>
  <c r="AA126" i="18" s="1"/>
  <c r="Z125" i="18"/>
  <c r="AA125" i="18" s="1"/>
  <c r="Z124" i="18"/>
  <c r="AA124" i="18" s="1"/>
  <c r="Z123" i="18"/>
  <c r="AA123" i="18" s="1"/>
  <c r="Z122" i="18"/>
  <c r="AA122" i="18" s="1"/>
  <c r="Z121" i="18"/>
  <c r="AA121" i="18" s="1"/>
  <c r="Z120" i="18"/>
  <c r="AA120" i="18" s="1"/>
  <c r="Z119" i="18"/>
  <c r="AA119" i="18" s="1"/>
  <c r="Z118" i="18"/>
  <c r="AA118" i="18" s="1"/>
  <c r="Z117" i="18"/>
  <c r="AA117" i="18" s="1"/>
  <c r="Z116" i="18"/>
  <c r="AA116" i="18" s="1"/>
  <c r="Z115" i="18"/>
  <c r="AA115" i="18" s="1"/>
  <c r="Z114" i="18"/>
  <c r="AA114" i="18" s="1"/>
  <c r="Z113" i="18"/>
  <c r="AA113" i="18" s="1"/>
  <c r="Z112" i="18"/>
  <c r="AA112" i="18" s="1"/>
  <c r="Z111" i="18"/>
  <c r="AA111" i="18" s="1"/>
  <c r="Z110" i="18"/>
  <c r="AA110" i="18" s="1"/>
  <c r="Z109" i="18"/>
  <c r="AA109" i="18" s="1"/>
  <c r="Z108" i="18"/>
  <c r="AA108" i="18" s="1"/>
  <c r="Z107" i="18"/>
  <c r="AA107" i="18" s="1"/>
  <c r="Z106" i="18"/>
  <c r="AA106" i="18" s="1"/>
  <c r="Z105" i="18"/>
  <c r="AA105" i="18" s="1"/>
  <c r="Z104" i="18"/>
  <c r="AA104" i="18" s="1"/>
  <c r="Z103" i="18"/>
  <c r="AA103" i="18" s="1"/>
  <c r="Z102" i="18"/>
  <c r="AA102" i="18" s="1"/>
  <c r="Z101" i="18"/>
  <c r="AA101" i="18" s="1"/>
  <c r="Z100" i="18"/>
  <c r="AA100" i="18" s="1"/>
  <c r="Z99" i="18"/>
  <c r="AA99" i="18" s="1"/>
  <c r="Z98" i="18"/>
  <c r="AA98" i="18" s="1"/>
  <c r="Z97" i="18"/>
  <c r="AA97" i="18" s="1"/>
  <c r="Z96" i="18"/>
  <c r="AA96" i="18" s="1"/>
  <c r="Z95" i="18"/>
  <c r="AA95" i="18" s="1"/>
  <c r="Z94" i="18"/>
  <c r="AA94" i="18" s="1"/>
  <c r="Z93" i="18"/>
  <c r="AA93" i="18" s="1"/>
  <c r="Z92" i="18"/>
  <c r="AA92" i="18" s="1"/>
  <c r="Z91" i="18"/>
  <c r="AA91" i="18" s="1"/>
  <c r="Z90" i="18"/>
  <c r="AA90" i="18" s="1"/>
  <c r="Z89" i="18"/>
  <c r="AA89" i="18" s="1"/>
  <c r="Z88" i="18"/>
  <c r="AA88" i="18" s="1"/>
  <c r="Z87" i="18"/>
  <c r="AA87" i="18" s="1"/>
  <c r="Z86" i="18"/>
  <c r="AA86" i="18" s="1"/>
  <c r="Z85" i="18"/>
  <c r="AA85" i="18" s="1"/>
  <c r="Z84" i="18"/>
  <c r="AA84" i="18" s="1"/>
  <c r="Z83" i="18"/>
  <c r="AA83" i="18" s="1"/>
  <c r="Z82" i="18"/>
  <c r="AA82" i="18" s="1"/>
  <c r="Z81" i="18"/>
  <c r="AA81" i="18" s="1"/>
  <c r="Z80" i="18"/>
  <c r="AA80" i="18" s="1"/>
  <c r="Z79" i="18"/>
  <c r="AA79" i="18" s="1"/>
  <c r="Z78" i="18"/>
  <c r="AA78" i="18" s="1"/>
  <c r="Z77" i="18"/>
  <c r="AA77" i="18" s="1"/>
  <c r="Z76" i="18"/>
  <c r="AA76" i="18" s="1"/>
  <c r="Z75" i="18"/>
  <c r="AA75" i="18" s="1"/>
  <c r="Z74" i="18"/>
  <c r="AA74" i="18" s="1"/>
  <c r="Z72" i="18"/>
  <c r="AA72" i="18" s="1"/>
  <c r="Z71" i="18"/>
  <c r="AA71" i="18" s="1"/>
  <c r="Z70" i="18"/>
  <c r="AA70" i="18" s="1"/>
  <c r="Z69" i="18"/>
  <c r="AA69" i="18" s="1"/>
  <c r="Z68" i="18"/>
  <c r="AA68" i="18" s="1"/>
  <c r="Z67" i="18"/>
  <c r="AA67" i="18" s="1"/>
  <c r="Z66" i="18"/>
  <c r="AA66" i="18" s="1"/>
  <c r="Z65" i="18"/>
  <c r="AA65" i="18" s="1"/>
  <c r="Z64" i="18"/>
  <c r="AA64" i="18" s="1"/>
  <c r="Z63" i="18"/>
  <c r="AA63" i="18" s="1"/>
  <c r="Z62" i="18"/>
  <c r="AA62" i="18" s="1"/>
  <c r="Z61" i="18"/>
  <c r="AA61" i="18" s="1"/>
  <c r="Z60" i="18"/>
  <c r="AA60" i="18" s="1"/>
  <c r="Z59" i="18"/>
  <c r="AA59" i="18" s="1"/>
  <c r="Z58" i="18"/>
  <c r="AA58" i="18" s="1"/>
  <c r="Z57" i="18"/>
  <c r="AA57" i="18" s="1"/>
  <c r="Z56" i="18"/>
  <c r="AA56" i="18" s="1"/>
  <c r="Z55" i="18"/>
  <c r="AA55" i="18" s="1"/>
  <c r="Z54" i="18"/>
  <c r="AA54" i="18" s="1"/>
  <c r="Z53" i="18"/>
  <c r="AA53" i="18" s="1"/>
  <c r="Z52" i="18"/>
  <c r="AA52" i="18" s="1"/>
  <c r="Z51" i="18"/>
  <c r="AA51" i="18" s="1"/>
  <c r="Z50" i="18"/>
  <c r="AA50" i="18" s="1"/>
  <c r="Z49" i="18"/>
  <c r="AA49" i="18" s="1"/>
  <c r="Z48" i="18"/>
  <c r="AA48" i="18" s="1"/>
  <c r="Z47" i="18"/>
  <c r="AA47" i="18" s="1"/>
  <c r="Z46" i="18"/>
  <c r="AA46" i="18" s="1"/>
  <c r="Z45" i="18"/>
  <c r="AA45" i="18" s="1"/>
  <c r="Z43" i="18"/>
  <c r="AA43" i="18" s="1"/>
  <c r="Z42" i="18"/>
  <c r="AA42" i="18" s="1"/>
  <c r="Z41" i="18"/>
  <c r="AA41" i="18" s="1"/>
  <c r="Z40" i="18"/>
  <c r="AA40" i="18" s="1"/>
  <c r="Z39" i="18"/>
  <c r="AA39" i="18" s="1"/>
  <c r="Z38" i="18"/>
  <c r="AA38" i="18" s="1"/>
  <c r="Z37" i="18"/>
  <c r="AA37" i="18" s="1"/>
  <c r="Z36" i="18"/>
  <c r="AA36" i="18" s="1"/>
  <c r="Z35" i="18"/>
  <c r="AA35" i="18" s="1"/>
  <c r="Z34" i="18"/>
  <c r="AA34" i="18" s="1"/>
  <c r="Z33" i="18"/>
  <c r="AA33" i="18" s="1"/>
  <c r="Z32" i="18"/>
  <c r="AA32" i="18" s="1"/>
  <c r="Z31" i="18"/>
  <c r="AA31" i="18" s="1"/>
  <c r="Z30" i="18"/>
  <c r="AA30" i="18" s="1"/>
  <c r="Z29" i="18"/>
  <c r="AA29" i="18" s="1"/>
  <c r="Z27" i="18"/>
  <c r="AA27" i="18" s="1"/>
  <c r="Z26" i="18"/>
  <c r="AA26" i="18" s="1"/>
  <c r="Z25" i="18"/>
  <c r="AA25" i="18" s="1"/>
  <c r="Z24" i="18"/>
  <c r="AA24" i="18" s="1"/>
  <c r="Z23" i="18"/>
  <c r="AA23" i="18" s="1"/>
  <c r="Z22" i="18"/>
  <c r="AA22" i="18" s="1"/>
  <c r="Z21" i="18"/>
  <c r="AA21" i="18" s="1"/>
  <c r="Z20" i="18"/>
  <c r="AA20" i="18" s="1"/>
  <c r="Z19" i="18"/>
  <c r="AA19" i="18" s="1"/>
  <c r="Z18" i="18"/>
  <c r="AA18" i="18" s="1"/>
  <c r="Z17" i="18"/>
  <c r="AA17" i="18" s="1"/>
  <c r="Z16" i="18"/>
  <c r="AA16" i="18" s="1"/>
  <c r="Z15" i="18"/>
  <c r="AA15" i="18" s="1"/>
  <c r="Z14" i="18"/>
  <c r="AA14" i="18" s="1"/>
  <c r="Z73" i="18"/>
  <c r="Z44" i="18"/>
  <c r="X46" i="18"/>
  <c r="V13" i="18"/>
  <c r="Y13" i="18" s="1"/>
  <c r="X169" i="18"/>
  <c r="W169" i="18"/>
  <c r="V169" i="18"/>
  <c r="X168" i="18"/>
  <c r="W168" i="18"/>
  <c r="V168" i="18"/>
  <c r="X167" i="18"/>
  <c r="V167" i="18"/>
  <c r="X166" i="18"/>
  <c r="V166" i="18"/>
  <c r="X165" i="18"/>
  <c r="W165" i="18"/>
  <c r="V165" i="18"/>
  <c r="X164" i="18"/>
  <c r="W164" i="18"/>
  <c r="V164" i="18"/>
  <c r="X163" i="18"/>
  <c r="W163" i="18"/>
  <c r="V163" i="18"/>
  <c r="X162" i="18"/>
  <c r="W162" i="18"/>
  <c r="V162" i="18"/>
  <c r="X161" i="18"/>
  <c r="W161" i="18"/>
  <c r="V161" i="18"/>
  <c r="X160" i="18"/>
  <c r="W160" i="18"/>
  <c r="V160" i="18"/>
  <c r="X159" i="18"/>
  <c r="W159" i="18"/>
  <c r="V159" i="18"/>
  <c r="X158" i="18"/>
  <c r="W158" i="18"/>
  <c r="V158" i="18"/>
  <c r="X157" i="18"/>
  <c r="W157" i="18"/>
  <c r="V157" i="18"/>
  <c r="X156" i="18"/>
  <c r="W156" i="18"/>
  <c r="V156" i="18"/>
  <c r="X155" i="18"/>
  <c r="W155" i="18"/>
  <c r="V155" i="18"/>
  <c r="X154" i="18"/>
  <c r="W154" i="18"/>
  <c r="V154" i="18"/>
  <c r="X153" i="18"/>
  <c r="W153" i="18"/>
  <c r="V153" i="18"/>
  <c r="X152" i="18"/>
  <c r="W152" i="18"/>
  <c r="V152" i="18"/>
  <c r="X151" i="18"/>
  <c r="W151" i="18"/>
  <c r="V151" i="18"/>
  <c r="X150" i="18"/>
  <c r="W150" i="18"/>
  <c r="V150" i="18"/>
  <c r="X149" i="18"/>
  <c r="W149" i="18"/>
  <c r="V149" i="18"/>
  <c r="X148" i="18"/>
  <c r="W148" i="18"/>
  <c r="V148" i="18"/>
  <c r="X147" i="18"/>
  <c r="W147" i="18"/>
  <c r="V147" i="18"/>
  <c r="X146" i="18"/>
  <c r="W146" i="18"/>
  <c r="V146" i="18"/>
  <c r="X145" i="18"/>
  <c r="W145" i="18"/>
  <c r="V145" i="18"/>
  <c r="X144" i="18"/>
  <c r="W144" i="18"/>
  <c r="V144" i="18"/>
  <c r="X143" i="18"/>
  <c r="W143" i="18"/>
  <c r="V143" i="18"/>
  <c r="X142" i="18"/>
  <c r="W142" i="18"/>
  <c r="V142" i="18"/>
  <c r="X141" i="18"/>
  <c r="W141" i="18"/>
  <c r="V141" i="18"/>
  <c r="X140" i="18"/>
  <c r="W140" i="18"/>
  <c r="V140" i="18"/>
  <c r="X139" i="18"/>
  <c r="W139" i="18"/>
  <c r="V139" i="18"/>
  <c r="X138" i="18"/>
  <c r="W138" i="18"/>
  <c r="V138" i="18"/>
  <c r="X137" i="18"/>
  <c r="W137" i="18"/>
  <c r="V137" i="18"/>
  <c r="X136" i="18"/>
  <c r="W136" i="18"/>
  <c r="V136" i="18"/>
  <c r="X135" i="18"/>
  <c r="W135" i="18"/>
  <c r="V135" i="18"/>
  <c r="X134" i="18"/>
  <c r="W134" i="18"/>
  <c r="V134" i="18"/>
  <c r="X133" i="18"/>
  <c r="W133" i="18"/>
  <c r="V133" i="18"/>
  <c r="X132" i="18"/>
  <c r="W132" i="18"/>
  <c r="V132" i="18"/>
  <c r="X131" i="18"/>
  <c r="W131" i="18"/>
  <c r="V131" i="18"/>
  <c r="X130" i="18"/>
  <c r="W130" i="18"/>
  <c r="V130" i="18"/>
  <c r="X129" i="18"/>
  <c r="W129" i="18"/>
  <c r="V129" i="18"/>
  <c r="X128" i="18"/>
  <c r="W128" i="18"/>
  <c r="V128" i="18"/>
  <c r="X127" i="18"/>
  <c r="W127" i="18"/>
  <c r="V127" i="18"/>
  <c r="X126" i="18"/>
  <c r="W126" i="18"/>
  <c r="V126" i="18"/>
  <c r="X125" i="18"/>
  <c r="W125" i="18"/>
  <c r="V125" i="18"/>
  <c r="X124" i="18"/>
  <c r="W124" i="18"/>
  <c r="V124" i="18"/>
  <c r="X123" i="18"/>
  <c r="W123" i="18"/>
  <c r="V123" i="18"/>
  <c r="X122" i="18"/>
  <c r="W122" i="18"/>
  <c r="V122" i="18"/>
  <c r="X121" i="18"/>
  <c r="W121" i="18"/>
  <c r="V121" i="18"/>
  <c r="X120" i="18"/>
  <c r="W120" i="18"/>
  <c r="V120" i="18"/>
  <c r="X119" i="18"/>
  <c r="W119" i="18"/>
  <c r="V119" i="18"/>
  <c r="X118" i="18"/>
  <c r="W118" i="18"/>
  <c r="V118" i="18"/>
  <c r="X117" i="18"/>
  <c r="W117" i="18"/>
  <c r="V117" i="18"/>
  <c r="X116" i="18"/>
  <c r="W116" i="18"/>
  <c r="V116" i="18"/>
  <c r="X115" i="18"/>
  <c r="W115" i="18"/>
  <c r="V115" i="18"/>
  <c r="X114" i="18"/>
  <c r="W114" i="18"/>
  <c r="V114" i="18"/>
  <c r="X113" i="18"/>
  <c r="W113" i="18"/>
  <c r="V113" i="18"/>
  <c r="X112" i="18"/>
  <c r="W112" i="18"/>
  <c r="V112" i="18"/>
  <c r="X111" i="18"/>
  <c r="W111" i="18"/>
  <c r="V111" i="18"/>
  <c r="X110" i="18"/>
  <c r="W110" i="18"/>
  <c r="V110" i="18"/>
  <c r="X109" i="18"/>
  <c r="W109" i="18"/>
  <c r="V109" i="18"/>
  <c r="X108" i="18"/>
  <c r="W108" i="18"/>
  <c r="V108" i="18"/>
  <c r="X107" i="18"/>
  <c r="W107" i="18"/>
  <c r="V107" i="18"/>
  <c r="X106" i="18"/>
  <c r="W106" i="18"/>
  <c r="V106" i="18"/>
  <c r="X105" i="18"/>
  <c r="W105" i="18"/>
  <c r="V105" i="18"/>
  <c r="X104" i="18"/>
  <c r="W104" i="18"/>
  <c r="V104" i="18"/>
  <c r="X103" i="18"/>
  <c r="W103" i="18"/>
  <c r="V103" i="18"/>
  <c r="X102" i="18"/>
  <c r="W102" i="18"/>
  <c r="V102" i="18"/>
  <c r="X101" i="18"/>
  <c r="W101" i="18"/>
  <c r="V101" i="18"/>
  <c r="X100" i="18"/>
  <c r="W100" i="18"/>
  <c r="V100" i="18"/>
  <c r="X99" i="18"/>
  <c r="W99" i="18"/>
  <c r="V99" i="18"/>
  <c r="X98" i="18"/>
  <c r="W98" i="18"/>
  <c r="V98" i="18"/>
  <c r="X97" i="18"/>
  <c r="W97" i="18"/>
  <c r="V97" i="18"/>
  <c r="X96" i="18"/>
  <c r="W96" i="18"/>
  <c r="V96" i="18"/>
  <c r="X95" i="18"/>
  <c r="W95" i="18"/>
  <c r="V95" i="18"/>
  <c r="X94" i="18"/>
  <c r="W94" i="18"/>
  <c r="V94" i="18"/>
  <c r="X93" i="18"/>
  <c r="W93" i="18"/>
  <c r="V93" i="18"/>
  <c r="X92" i="18"/>
  <c r="W92" i="18"/>
  <c r="V92" i="18"/>
  <c r="X91" i="18"/>
  <c r="W91" i="18"/>
  <c r="V91" i="18"/>
  <c r="X90" i="18"/>
  <c r="W90" i="18"/>
  <c r="V90" i="18"/>
  <c r="X89" i="18"/>
  <c r="W89" i="18"/>
  <c r="V89" i="18"/>
  <c r="X88" i="18"/>
  <c r="W88" i="18"/>
  <c r="V88" i="18"/>
  <c r="X87" i="18"/>
  <c r="W87" i="18"/>
  <c r="V87" i="18"/>
  <c r="X86" i="18"/>
  <c r="W86" i="18"/>
  <c r="V86" i="18"/>
  <c r="X85" i="18"/>
  <c r="W85" i="18"/>
  <c r="V85" i="18"/>
  <c r="X84" i="18"/>
  <c r="W84" i="18"/>
  <c r="V84" i="18"/>
  <c r="X83" i="18"/>
  <c r="W83" i="18"/>
  <c r="V83" i="18"/>
  <c r="X82" i="18"/>
  <c r="W82" i="18"/>
  <c r="V82" i="18"/>
  <c r="X81" i="18"/>
  <c r="W81" i="18"/>
  <c r="V81" i="18"/>
  <c r="X80" i="18"/>
  <c r="W80" i="18"/>
  <c r="V80" i="18"/>
  <c r="X79" i="18"/>
  <c r="W79" i="18"/>
  <c r="V79" i="18"/>
  <c r="X78" i="18"/>
  <c r="W78" i="18"/>
  <c r="V78" i="18"/>
  <c r="X77" i="18"/>
  <c r="W77" i="18"/>
  <c r="V77" i="18"/>
  <c r="X76" i="18"/>
  <c r="W76" i="18"/>
  <c r="V76" i="18"/>
  <c r="X75" i="18"/>
  <c r="W75" i="18"/>
  <c r="V75" i="18"/>
  <c r="X74" i="18"/>
  <c r="W74" i="18"/>
  <c r="V74" i="18"/>
  <c r="X73" i="18"/>
  <c r="W73" i="18"/>
  <c r="V73" i="18"/>
  <c r="X71" i="18"/>
  <c r="V71" i="18"/>
  <c r="X70" i="18"/>
  <c r="W70" i="18"/>
  <c r="V70" i="18"/>
  <c r="X69" i="18"/>
  <c r="W69" i="18"/>
  <c r="V69" i="18"/>
  <c r="X68" i="18"/>
  <c r="W68" i="18"/>
  <c r="V68" i="18"/>
  <c r="X67" i="18"/>
  <c r="W67" i="18"/>
  <c r="V67" i="18"/>
  <c r="X66" i="18"/>
  <c r="W66" i="18"/>
  <c r="V66" i="18"/>
  <c r="X65" i="18"/>
  <c r="W65" i="18"/>
  <c r="V65" i="18"/>
  <c r="X64" i="18"/>
  <c r="W64" i="18"/>
  <c r="V64" i="18"/>
  <c r="X63" i="18"/>
  <c r="W63" i="18"/>
  <c r="V63" i="18"/>
  <c r="X62" i="18"/>
  <c r="W62" i="18"/>
  <c r="V62" i="18"/>
  <c r="X61" i="18"/>
  <c r="W61" i="18"/>
  <c r="V61" i="18"/>
  <c r="X60" i="18"/>
  <c r="W60" i="18"/>
  <c r="V60" i="18"/>
  <c r="X59" i="18"/>
  <c r="W59" i="18"/>
  <c r="V59" i="18"/>
  <c r="X58" i="18"/>
  <c r="W58" i="18"/>
  <c r="V58" i="18"/>
  <c r="X57" i="18"/>
  <c r="W57" i="18"/>
  <c r="V57" i="18"/>
  <c r="X56" i="18"/>
  <c r="W56" i="18"/>
  <c r="V56" i="18"/>
  <c r="X55" i="18"/>
  <c r="W55" i="18"/>
  <c r="V55" i="18"/>
  <c r="X54" i="18"/>
  <c r="W54" i="18"/>
  <c r="V54" i="18"/>
  <c r="X53" i="18"/>
  <c r="W53" i="18"/>
  <c r="V53" i="18"/>
  <c r="X52" i="18"/>
  <c r="W52" i="18"/>
  <c r="V52" i="18"/>
  <c r="X51" i="18"/>
  <c r="W51" i="18"/>
  <c r="V51" i="18"/>
  <c r="X50" i="18"/>
  <c r="W50" i="18"/>
  <c r="V50" i="18"/>
  <c r="X49" i="18"/>
  <c r="W49" i="18"/>
  <c r="V49" i="18"/>
  <c r="X48" i="18"/>
  <c r="W48" i="18"/>
  <c r="V48" i="18"/>
  <c r="X47" i="18"/>
  <c r="W47" i="18"/>
  <c r="V47" i="18"/>
  <c r="V46" i="18"/>
  <c r="X45" i="18"/>
  <c r="V45" i="18"/>
  <c r="X44" i="18"/>
  <c r="W44" i="18"/>
  <c r="V44" i="18"/>
  <c r="X43" i="18"/>
  <c r="V43" i="18"/>
  <c r="X42" i="18"/>
  <c r="W42" i="18"/>
  <c r="V42" i="18"/>
  <c r="X41" i="18"/>
  <c r="W41" i="18"/>
  <c r="V41" i="18"/>
  <c r="X40" i="18"/>
  <c r="W40" i="18"/>
  <c r="V40" i="18"/>
  <c r="X39" i="18"/>
  <c r="W39" i="18"/>
  <c r="V39" i="18"/>
  <c r="X38" i="18"/>
  <c r="W38" i="18"/>
  <c r="V38" i="18"/>
  <c r="X37" i="18"/>
  <c r="W37" i="18"/>
  <c r="V37" i="18"/>
  <c r="X36" i="18"/>
  <c r="W36" i="18"/>
  <c r="V36" i="18"/>
  <c r="X35" i="18"/>
  <c r="W35" i="18"/>
  <c r="V35" i="18"/>
  <c r="X34" i="18"/>
  <c r="W34" i="18"/>
  <c r="V34" i="18"/>
  <c r="X33" i="18"/>
  <c r="W33" i="18"/>
  <c r="V33" i="18"/>
  <c r="X32" i="18"/>
  <c r="W32" i="18"/>
  <c r="V32" i="18"/>
  <c r="X31" i="18"/>
  <c r="W31" i="18"/>
  <c r="V31" i="18"/>
  <c r="X30" i="18"/>
  <c r="V30" i="18"/>
  <c r="X29" i="18"/>
  <c r="V29" i="18"/>
  <c r="X28" i="18"/>
  <c r="W28" i="18"/>
  <c r="V28" i="18"/>
  <c r="V27" i="18"/>
  <c r="Y27" i="18" s="1"/>
  <c r="X26" i="18"/>
  <c r="W26" i="18"/>
  <c r="V26" i="18"/>
  <c r="X25" i="18"/>
  <c r="W25" i="18"/>
  <c r="V25" i="18"/>
  <c r="X24" i="18"/>
  <c r="W24" i="18"/>
  <c r="V24" i="18"/>
  <c r="X23" i="18"/>
  <c r="W23" i="18"/>
  <c r="V23" i="18"/>
  <c r="X22" i="18"/>
  <c r="W22" i="18"/>
  <c r="V22" i="18"/>
  <c r="X21" i="18"/>
  <c r="W21" i="18"/>
  <c r="V21" i="18"/>
  <c r="X20" i="18"/>
  <c r="W20" i="18"/>
  <c r="V20" i="18"/>
  <c r="X19" i="18"/>
  <c r="W19" i="18"/>
  <c r="V19" i="18"/>
  <c r="X18" i="18"/>
  <c r="W18" i="18"/>
  <c r="V18" i="18"/>
  <c r="X17" i="18"/>
  <c r="W17" i="18"/>
  <c r="V17" i="18"/>
  <c r="X16" i="18"/>
  <c r="W16" i="18"/>
  <c r="V16" i="18"/>
  <c r="X15" i="18"/>
  <c r="W15" i="18"/>
  <c r="V15" i="18"/>
  <c r="X13" i="18"/>
  <c r="AJ6" i="18" l="1"/>
  <c r="Y43" i="18"/>
  <c r="AB43" i="18" s="1"/>
  <c r="Y71" i="18"/>
  <c r="AB71" i="18" s="1"/>
  <c r="AB14" i="18"/>
  <c r="Y45" i="18"/>
  <c r="AB45" i="18" s="1"/>
  <c r="Y29" i="18"/>
  <c r="AB29" i="18" s="1"/>
  <c r="Y166" i="18"/>
  <c r="AB166" i="18" s="1"/>
  <c r="AB13" i="18"/>
  <c r="Y167" i="18"/>
  <c r="AB167" i="18" s="1"/>
  <c r="Y133" i="18"/>
  <c r="AB133" i="18" s="1"/>
  <c r="Y46" i="18"/>
  <c r="AB46" i="18" s="1"/>
  <c r="Y153" i="18"/>
  <c r="AB153" i="18" s="1"/>
  <c r="Y16" i="18"/>
  <c r="AB16" i="18" s="1"/>
  <c r="Y85" i="18"/>
  <c r="AB85" i="18" s="1"/>
  <c r="K85" i="18" s="1"/>
  <c r="N85" i="18" s="1"/>
  <c r="Y74" i="18"/>
  <c r="AB74" i="18" s="1"/>
  <c r="K74" i="18" s="1"/>
  <c r="N74" i="18" s="1"/>
  <c r="Y57" i="18"/>
  <c r="AB57" i="18" s="1"/>
  <c r="Y118" i="18"/>
  <c r="AB118" i="18" s="1"/>
  <c r="Y17" i="18"/>
  <c r="AB17" i="18" s="1"/>
  <c r="Y37" i="18"/>
  <c r="AB37" i="18" s="1"/>
  <c r="Y125" i="18"/>
  <c r="AB125" i="18" s="1"/>
  <c r="Y21" i="18"/>
  <c r="AB21" i="18" s="1"/>
  <c r="K21" i="18" s="1"/>
  <c r="Y89" i="18"/>
  <c r="AB89" i="18" s="1"/>
  <c r="K89" i="18" s="1"/>
  <c r="N89" i="18" s="1"/>
  <c r="Y115" i="18"/>
  <c r="AB115" i="18" s="1"/>
  <c r="K115" i="18" s="1"/>
  <c r="N115" i="18" s="1"/>
  <c r="Y110" i="18"/>
  <c r="AB110" i="18" s="1"/>
  <c r="K110" i="18" s="1"/>
  <c r="N110" i="18" s="1"/>
  <c r="Y105" i="18"/>
  <c r="AB105" i="18" s="1"/>
  <c r="K105" i="18" s="1"/>
  <c r="N105" i="18" s="1"/>
  <c r="Y113" i="18"/>
  <c r="AB113" i="18" s="1"/>
  <c r="K113" i="18" s="1"/>
  <c r="N113" i="18" s="1"/>
  <c r="Y145" i="18"/>
  <c r="AB145" i="18" s="1"/>
  <c r="Y161" i="18"/>
  <c r="AB161" i="18" s="1"/>
  <c r="Y22" i="18"/>
  <c r="AB22" i="18" s="1"/>
  <c r="K22" i="18" s="1"/>
  <c r="N22" i="18" s="1"/>
  <c r="Y109" i="18"/>
  <c r="AB109" i="18" s="1"/>
  <c r="K109" i="18" s="1"/>
  <c r="N109" i="18" s="1"/>
  <c r="AB27" i="18"/>
  <c r="Y98" i="18"/>
  <c r="AB98" i="18" s="1"/>
  <c r="K98" i="18" s="1"/>
  <c r="N98" i="18" s="1"/>
  <c r="Y42" i="18"/>
  <c r="AB42" i="18" s="1"/>
  <c r="Y69" i="18"/>
  <c r="AB69" i="18" s="1"/>
  <c r="K69" i="18" s="1"/>
  <c r="N69" i="18" s="1"/>
  <c r="Y157" i="18"/>
  <c r="AB157" i="18" s="1"/>
  <c r="Y152" i="18"/>
  <c r="AB152" i="18" s="1"/>
  <c r="Y147" i="18"/>
  <c r="AB147" i="18" s="1"/>
  <c r="Y90" i="18"/>
  <c r="AB90" i="18" s="1"/>
  <c r="K90" i="18" s="1"/>
  <c r="N90" i="18" s="1"/>
  <c r="Y137" i="18"/>
  <c r="AB137" i="18" s="1"/>
  <c r="Y75" i="18"/>
  <c r="AB75" i="18" s="1"/>
  <c r="K75" i="18" s="1"/>
  <c r="N75" i="18" s="1"/>
  <c r="Y101" i="18"/>
  <c r="AB101" i="18" s="1"/>
  <c r="K101" i="18" s="1"/>
  <c r="N101" i="18" s="1"/>
  <c r="Y38" i="18"/>
  <c r="AB38" i="18" s="1"/>
  <c r="K38" i="18" s="1"/>
  <c r="N38" i="18" s="1"/>
  <c r="Y65" i="18"/>
  <c r="AB65" i="18" s="1"/>
  <c r="K65" i="18" s="1"/>
  <c r="N65" i="18" s="1"/>
  <c r="Y70" i="18"/>
  <c r="AB70" i="18" s="1"/>
  <c r="Y60" i="18"/>
  <c r="AB60" i="18" s="1"/>
  <c r="K60" i="18" s="1"/>
  <c r="N60" i="18" s="1"/>
  <c r="Y55" i="18"/>
  <c r="AB55" i="18" s="1"/>
  <c r="Y50" i="18"/>
  <c r="AB50" i="18" s="1"/>
  <c r="Y81" i="18"/>
  <c r="AB81" i="18" s="1"/>
  <c r="K81" i="18" s="1"/>
  <c r="N81" i="18" s="1"/>
  <c r="Y117" i="18"/>
  <c r="AB117" i="18" s="1"/>
  <c r="Y40" i="18"/>
  <c r="AB40" i="18" s="1"/>
  <c r="Y61" i="18"/>
  <c r="AB61" i="18" s="1"/>
  <c r="K61" i="18" s="1"/>
  <c r="N61" i="18" s="1"/>
  <c r="Y66" i="18"/>
  <c r="AB66" i="18" s="1"/>
  <c r="Y97" i="18"/>
  <c r="AB97" i="18" s="1"/>
  <c r="K97" i="18" s="1"/>
  <c r="N97" i="18" s="1"/>
  <c r="Y102" i="18"/>
  <c r="AB102" i="18" s="1"/>
  <c r="K102" i="18" s="1"/>
  <c r="N102" i="18" s="1"/>
  <c r="Y123" i="18"/>
  <c r="AB123" i="18" s="1"/>
  <c r="K123" i="18" s="1"/>
  <c r="N123" i="18" s="1"/>
  <c r="Y128" i="18"/>
  <c r="AB128" i="18" s="1"/>
  <c r="Y36" i="18"/>
  <c r="AB36" i="18" s="1"/>
  <c r="Y41" i="18"/>
  <c r="AB41" i="18" s="1"/>
  <c r="Y62" i="18"/>
  <c r="AB62" i="18" s="1"/>
  <c r="K62" i="18" s="1"/>
  <c r="N62" i="18" s="1"/>
  <c r="Y103" i="18"/>
  <c r="AB103" i="18" s="1"/>
  <c r="K103" i="18" s="1"/>
  <c r="N103" i="18" s="1"/>
  <c r="Y108" i="18"/>
  <c r="AB108" i="18" s="1"/>
  <c r="K108" i="18" s="1"/>
  <c r="N108" i="18" s="1"/>
  <c r="Y31" i="18"/>
  <c r="AB31" i="18" s="1"/>
  <c r="Y93" i="18"/>
  <c r="AB93" i="18" s="1"/>
  <c r="K93" i="18" s="1"/>
  <c r="N93" i="18" s="1"/>
  <c r="Y26" i="18"/>
  <c r="AB26" i="18" s="1"/>
  <c r="Y47" i="18"/>
  <c r="AB47" i="18" s="1"/>
  <c r="Y53" i="18"/>
  <c r="AB53" i="18" s="1"/>
  <c r="Y84" i="18"/>
  <c r="AB84" i="18" s="1"/>
  <c r="K84" i="18" s="1"/>
  <c r="N84" i="18" s="1"/>
  <c r="Y94" i="18"/>
  <c r="AB94" i="18" s="1"/>
  <c r="K94" i="18" s="1"/>
  <c r="N94" i="18" s="1"/>
  <c r="Y79" i="18"/>
  <c r="AB79" i="18" s="1"/>
  <c r="K79" i="18" s="1"/>
  <c r="N79" i="18" s="1"/>
  <c r="Y141" i="18"/>
  <c r="AB141" i="18" s="1"/>
  <c r="Y51" i="18"/>
  <c r="AB51" i="18" s="1"/>
  <c r="Y56" i="18"/>
  <c r="AB56" i="18" s="1"/>
  <c r="Y121" i="18"/>
  <c r="AB121" i="18" s="1"/>
  <c r="Y96" i="18"/>
  <c r="AB96" i="18" s="1"/>
  <c r="K96" i="18" s="1"/>
  <c r="N96" i="18" s="1"/>
  <c r="Y111" i="18"/>
  <c r="AB111" i="18" s="1"/>
  <c r="K111" i="18" s="1"/>
  <c r="N111" i="18" s="1"/>
  <c r="Y116" i="18"/>
  <c r="AB116" i="18" s="1"/>
  <c r="K116" i="18" s="1"/>
  <c r="N116" i="18" s="1"/>
  <c r="Y76" i="18"/>
  <c r="AB76" i="18" s="1"/>
  <c r="K76" i="18" s="1"/>
  <c r="N76" i="18" s="1"/>
  <c r="Y86" i="18"/>
  <c r="AB86" i="18" s="1"/>
  <c r="K86" i="18" s="1"/>
  <c r="N86" i="18" s="1"/>
  <c r="Y91" i="18"/>
  <c r="AB91" i="18" s="1"/>
  <c r="K91" i="18" s="1"/>
  <c r="N91" i="18" s="1"/>
  <c r="Y106" i="18"/>
  <c r="AB106" i="18" s="1"/>
  <c r="K106" i="18" s="1"/>
  <c r="N106" i="18" s="1"/>
  <c r="Y32" i="18"/>
  <c r="AB32" i="18" s="1"/>
  <c r="Y52" i="18"/>
  <c r="AB52" i="18" s="1"/>
  <c r="Y168" i="18"/>
  <c r="AB168" i="18" s="1"/>
  <c r="Y67" i="18"/>
  <c r="AB67" i="18" s="1"/>
  <c r="Y77" i="18"/>
  <c r="AB77" i="18" s="1"/>
  <c r="K77" i="18" s="1"/>
  <c r="N77" i="18" s="1"/>
  <c r="Y82" i="18"/>
  <c r="AB82" i="18" s="1"/>
  <c r="K82" i="18" s="1"/>
  <c r="N82" i="18" s="1"/>
  <c r="Y87" i="18"/>
  <c r="AB87" i="18" s="1"/>
  <c r="K87" i="18" s="1"/>
  <c r="N87" i="18" s="1"/>
  <c r="Y92" i="18"/>
  <c r="AB92" i="18" s="1"/>
  <c r="K92" i="18" s="1"/>
  <c r="N92" i="18" s="1"/>
  <c r="Y33" i="18"/>
  <c r="AB33" i="18" s="1"/>
  <c r="Y169" i="18"/>
  <c r="AB169" i="18" s="1"/>
  <c r="Y18" i="18"/>
  <c r="AB18" i="18" s="1"/>
  <c r="Y23" i="18"/>
  <c r="AB23" i="18" s="1"/>
  <c r="Y164" i="18"/>
  <c r="AB164" i="18" s="1"/>
  <c r="Y144" i="18"/>
  <c r="AB144" i="18" s="1"/>
  <c r="Y149" i="18"/>
  <c r="AB149" i="18" s="1"/>
  <c r="Y34" i="18"/>
  <c r="AB34" i="18" s="1"/>
  <c r="Y124" i="18"/>
  <c r="AB124" i="18" s="1"/>
  <c r="Y129" i="18"/>
  <c r="AB129" i="18" s="1"/>
  <c r="Y19" i="18"/>
  <c r="AB19" i="18" s="1"/>
  <c r="Y24" i="18"/>
  <c r="AB24" i="18" s="1"/>
  <c r="Y49" i="18"/>
  <c r="AB49" i="18" s="1"/>
  <c r="Y48" i="18"/>
  <c r="AB48" i="18" s="1"/>
  <c r="Y58" i="18"/>
  <c r="AB58" i="18" s="1"/>
  <c r="Y63" i="18"/>
  <c r="AB63" i="18" s="1"/>
  <c r="Y143" i="18"/>
  <c r="AB143" i="18" s="1"/>
  <c r="Y148" i="18"/>
  <c r="AB148" i="18" s="1"/>
  <c r="Y163" i="18"/>
  <c r="AB163" i="18" s="1"/>
  <c r="Y99" i="18"/>
  <c r="AB99" i="18" s="1"/>
  <c r="K99" i="18" s="1"/>
  <c r="N99" i="18" s="1"/>
  <c r="Y104" i="18"/>
  <c r="AB104" i="18" s="1"/>
  <c r="K104" i="18" s="1"/>
  <c r="N104" i="18" s="1"/>
  <c r="Y119" i="18"/>
  <c r="AB119" i="18" s="1"/>
  <c r="K119" i="18" s="1"/>
  <c r="N119" i="18" s="1"/>
  <c r="Y139" i="18"/>
  <c r="AB139" i="18" s="1"/>
  <c r="Y154" i="18"/>
  <c r="AB154" i="18" s="1"/>
  <c r="Y159" i="18"/>
  <c r="AB159" i="18" s="1"/>
  <c r="Y25" i="18"/>
  <c r="AB25" i="18" s="1"/>
  <c r="K25" i="18" s="1"/>
  <c r="N25" i="18" s="1"/>
  <c r="Y114" i="18"/>
  <c r="AB114" i="18" s="1"/>
  <c r="K114" i="18" s="1"/>
  <c r="N114" i="18" s="1"/>
  <c r="Y165" i="18"/>
  <c r="AB165" i="18" s="1"/>
  <c r="Y80" i="18"/>
  <c r="AB80" i="18" s="1"/>
  <c r="K80" i="18" s="1"/>
  <c r="N80" i="18" s="1"/>
  <c r="Y95" i="18"/>
  <c r="AB95" i="18" s="1"/>
  <c r="K95" i="18" s="1"/>
  <c r="N95" i="18" s="1"/>
  <c r="Y100" i="18"/>
  <c r="AB100" i="18" s="1"/>
  <c r="K100" i="18" s="1"/>
  <c r="N100" i="18" s="1"/>
  <c r="Y120" i="18"/>
  <c r="AB120" i="18" s="1"/>
  <c r="K120" i="18" s="1"/>
  <c r="N120" i="18" s="1"/>
  <c r="Y135" i="18"/>
  <c r="AB135" i="18" s="1"/>
  <c r="Y140" i="18"/>
  <c r="AB140" i="18" s="1"/>
  <c r="Y150" i="18"/>
  <c r="AB150" i="18" s="1"/>
  <c r="Y155" i="18"/>
  <c r="AB155" i="18" s="1"/>
  <c r="Y160" i="18"/>
  <c r="AB160" i="18" s="1"/>
  <c r="Y68" i="18"/>
  <c r="AB68" i="18" s="1"/>
  <c r="Y126" i="18"/>
  <c r="AB126" i="18" s="1"/>
  <c r="Y136" i="18"/>
  <c r="AB136" i="18" s="1"/>
  <c r="Y15" i="18"/>
  <c r="AB15" i="18" s="1"/>
  <c r="Y20" i="18"/>
  <c r="AB20" i="18" s="1"/>
  <c r="Y83" i="18"/>
  <c r="AB83" i="18" s="1"/>
  <c r="K83" i="18" s="1"/>
  <c r="N83" i="18" s="1"/>
  <c r="Y112" i="18"/>
  <c r="AB112" i="18" s="1"/>
  <c r="K112" i="18" s="1"/>
  <c r="N112" i="18" s="1"/>
  <c r="Y151" i="18"/>
  <c r="AB151" i="18" s="1"/>
  <c r="Y35" i="18"/>
  <c r="AB35" i="18" s="1"/>
  <c r="Y127" i="18"/>
  <c r="AB127" i="18" s="1"/>
  <c r="K127" i="18" s="1"/>
  <c r="N127" i="18" s="1"/>
  <c r="Y132" i="18"/>
  <c r="AB132" i="18" s="1"/>
  <c r="Y131" i="18"/>
  <c r="AB131" i="18" s="1"/>
  <c r="K131" i="18" s="1"/>
  <c r="N131" i="18" s="1"/>
  <c r="Y39" i="18"/>
  <c r="AB39" i="18" s="1"/>
  <c r="Y30" i="18"/>
  <c r="AB30" i="18" s="1"/>
  <c r="Y54" i="18"/>
  <c r="AB54" i="18" s="1"/>
  <c r="Y59" i="18"/>
  <c r="AB59" i="18" s="1"/>
  <c r="Y64" i="18"/>
  <c r="AB64" i="18" s="1"/>
  <c r="K64" i="18" s="1"/>
  <c r="N64" i="18" s="1"/>
  <c r="Y78" i="18"/>
  <c r="AB78" i="18" s="1"/>
  <c r="K78" i="18" s="1"/>
  <c r="N78" i="18" s="1"/>
  <c r="Y88" i="18"/>
  <c r="AB88" i="18" s="1"/>
  <c r="K88" i="18" s="1"/>
  <c r="N88" i="18" s="1"/>
  <c r="Y107" i="18"/>
  <c r="AB107" i="18" s="1"/>
  <c r="K107" i="18" s="1"/>
  <c r="N107" i="18" s="1"/>
  <c r="Y156" i="18"/>
  <c r="AB156" i="18" s="1"/>
  <c r="Y146" i="18"/>
  <c r="AB146" i="18" s="1"/>
  <c r="Y162" i="18"/>
  <c r="AB162" i="18" s="1"/>
  <c r="Y142" i="18"/>
  <c r="AB142" i="18" s="1"/>
  <c r="Y138" i="18"/>
  <c r="AB138" i="18" s="1"/>
  <c r="Y134" i="18"/>
  <c r="AB134" i="18" s="1"/>
  <c r="Y158" i="18"/>
  <c r="AB158" i="18" s="1"/>
  <c r="Y130" i="18"/>
  <c r="AB130" i="18" s="1"/>
  <c r="Y122" i="18"/>
  <c r="AB122" i="18" s="1"/>
  <c r="K122" i="18" s="1"/>
  <c r="N122" i="18" s="1"/>
  <c r="AC109" i="18" l="1"/>
  <c r="AC107" i="18"/>
  <c r="AC123" i="18"/>
  <c r="AC52" i="18"/>
  <c r="K52" i="18"/>
  <c r="N52" i="18" s="1"/>
  <c r="AC78" i="18"/>
  <c r="AC34" i="18"/>
  <c r="K34" i="18"/>
  <c r="N34" i="18" s="1"/>
  <c r="AC47" i="18"/>
  <c r="AC86" i="18"/>
  <c r="AC16" i="18"/>
  <c r="AC76" i="18"/>
  <c r="AC31" i="18"/>
  <c r="AC35" i="18"/>
  <c r="K35" i="18"/>
  <c r="AC80" i="18"/>
  <c r="AC79" i="18"/>
  <c r="AC49" i="18"/>
  <c r="K49" i="18"/>
  <c r="N49" i="18" s="1"/>
  <c r="AC51" i="18"/>
  <c r="AC84" i="18"/>
  <c r="AC139" i="18"/>
  <c r="AD139" i="18" s="1"/>
  <c r="AC32" i="18"/>
  <c r="AC119" i="18"/>
  <c r="AC59" i="18"/>
  <c r="AC104" i="18"/>
  <c r="AC91" i="18"/>
  <c r="AC54" i="18"/>
  <c r="K54" i="18"/>
  <c r="N54" i="18" s="1"/>
  <c r="AC23" i="18"/>
  <c r="K23" i="18"/>
  <c r="N23" i="18" s="1"/>
  <c r="AC18" i="18"/>
  <c r="AC120" i="18"/>
  <c r="AC96" i="18"/>
  <c r="AC127" i="18"/>
  <c r="AC92" i="18"/>
  <c r="AC36" i="18"/>
  <c r="K36" i="18"/>
  <c r="N36" i="18" s="1"/>
  <c r="AC50" i="18"/>
  <c r="K50" i="18"/>
  <c r="N50" i="18" s="1"/>
  <c r="AC116" i="18"/>
  <c r="AC101" i="18"/>
  <c r="AC89" i="18"/>
  <c r="AC40" i="18"/>
  <c r="K40" i="18"/>
  <c r="N40" i="18" s="1"/>
  <c r="AC117" i="18"/>
  <c r="AC81" i="18"/>
  <c r="AC55" i="18"/>
  <c r="AC66" i="18"/>
  <c r="AC20" i="18"/>
  <c r="K20" i="18"/>
  <c r="AC88" i="18"/>
  <c r="AC105" i="18"/>
  <c r="AC97" i="18"/>
  <c r="AC82" i="18"/>
  <c r="AD82" i="18" s="1"/>
  <c r="AC77" i="18"/>
  <c r="AC21" i="18"/>
  <c r="AC115" i="18"/>
  <c r="AC15" i="18"/>
  <c r="AC17" i="18"/>
  <c r="K17" i="18"/>
  <c r="AC90" i="18"/>
  <c r="AC85" i="18"/>
  <c r="AC131" i="18"/>
  <c r="AC56" i="18"/>
  <c r="K56" i="18"/>
  <c r="N56" i="18" s="1"/>
  <c r="AC33" i="18"/>
  <c r="K33" i="18"/>
  <c r="N33" i="18" s="1"/>
  <c r="AC74" i="18"/>
  <c r="AC48" i="18"/>
  <c r="AC103" i="18"/>
  <c r="AD103" i="18" s="1"/>
  <c r="AC93" i="18"/>
  <c r="AC111" i="18"/>
  <c r="AC57" i="18"/>
  <c r="K57" i="18"/>
  <c r="N57" i="18" s="1"/>
  <c r="AC121" i="18"/>
  <c r="AC112" i="18"/>
  <c r="AC19" i="18"/>
  <c r="K19" i="18"/>
  <c r="AC53" i="18"/>
  <c r="K53" i="18"/>
  <c r="N53" i="18" s="1"/>
  <c r="AC99" i="18"/>
  <c r="AD99" i="18" s="1"/>
  <c r="AC108" i="18"/>
  <c r="AC113" i="18"/>
  <c r="AD113" i="18" s="1"/>
  <c r="AC37" i="18"/>
  <c r="K37" i="18"/>
  <c r="N37" i="18" s="1"/>
  <c r="AC135" i="18"/>
  <c r="AC87" i="18"/>
  <c r="AC83" i="18"/>
  <c r="AC95" i="18"/>
  <c r="AD95" i="18" s="1"/>
  <c r="AC75" i="18"/>
  <c r="AC58" i="18"/>
  <c r="K58" i="18"/>
  <c r="AC143" i="18"/>
  <c r="AC100" i="18"/>
  <c r="H72" i="18"/>
  <c r="L173" i="18"/>
  <c r="G173" i="18"/>
  <c r="L172" i="18"/>
  <c r="K170" i="18"/>
  <c r="K73" i="18"/>
  <c r="K44" i="18"/>
  <c r="K28" i="18"/>
  <c r="G28" i="18"/>
  <c r="Y28" i="18" s="1"/>
  <c r="G44" i="18"/>
  <c r="G73" i="18"/>
  <c r="G170" i="18"/>
  <c r="N73" i="18"/>
  <c r="M73" i="18"/>
  <c r="P73" i="18" s="1"/>
  <c r="N44" i="18"/>
  <c r="M44" i="18"/>
  <c r="P44" i="18" s="1"/>
  <c r="N28" i="18"/>
  <c r="M28" i="18"/>
  <c r="P28" i="18" s="1"/>
  <c r="AD17" i="18" l="1"/>
  <c r="AD15" i="18"/>
  <c r="AD37" i="18"/>
  <c r="AD58" i="18"/>
  <c r="N58" i="18"/>
  <c r="AD35" i="18"/>
  <c r="N35" i="18"/>
  <c r="AD76" i="18"/>
  <c r="AD97" i="18"/>
  <c r="AD143" i="18"/>
  <c r="AD19" i="18"/>
  <c r="AD50" i="18"/>
  <c r="AD57" i="18"/>
  <c r="AD117" i="18"/>
  <c r="AD59" i="18"/>
  <c r="AD78" i="18"/>
  <c r="AD89" i="18"/>
  <c r="AD123" i="18"/>
  <c r="AD115" i="18"/>
  <c r="AD49" i="18"/>
  <c r="AD56" i="18"/>
  <c r="AD131" i="18"/>
  <c r="AD127" i="18"/>
  <c r="AD80" i="18"/>
  <c r="AD93" i="18"/>
  <c r="AD90" i="18"/>
  <c r="AD105" i="18"/>
  <c r="AD120" i="18"/>
  <c r="AD32" i="18"/>
  <c r="AD31" i="18"/>
  <c r="AD75" i="18"/>
  <c r="AD53" i="18"/>
  <c r="AD116" i="18"/>
  <c r="AD23" i="18"/>
  <c r="AD109" i="18"/>
  <c r="AD20" i="18"/>
  <c r="AD16" i="18"/>
  <c r="AD86" i="18"/>
  <c r="AD33" i="18"/>
  <c r="AD21" i="18"/>
  <c r="AD55" i="18"/>
  <c r="AD36" i="18"/>
  <c r="AD91" i="18"/>
  <c r="AD47" i="18"/>
  <c r="AD87" i="18"/>
  <c r="AD121" i="18"/>
  <c r="AD77" i="18"/>
  <c r="AD81" i="18"/>
  <c r="AD92" i="18"/>
  <c r="AD104" i="18"/>
  <c r="AD79" i="18"/>
  <c r="AD34" i="18"/>
  <c r="AD135" i="18"/>
  <c r="V72" i="18"/>
  <c r="X72" i="18"/>
  <c r="AD74" i="18"/>
  <c r="AD54" i="18"/>
  <c r="Y44" i="18"/>
  <c r="AA44" i="18"/>
  <c r="AD100" i="18"/>
  <c r="AD111" i="18"/>
  <c r="AD85" i="18"/>
  <c r="AD40" i="18"/>
  <c r="AD96" i="18"/>
  <c r="AD119" i="18"/>
  <c r="AD52" i="18"/>
  <c r="Y73" i="18"/>
  <c r="AA73" i="18"/>
  <c r="AD48" i="18"/>
  <c r="AD84" i="18"/>
  <c r="AD66" i="18"/>
  <c r="AD51" i="18"/>
  <c r="AD83" i="18"/>
  <c r="AD112" i="18"/>
  <c r="AD108" i="18"/>
  <c r="AD88" i="18"/>
  <c r="AD101" i="18"/>
  <c r="AD18" i="18"/>
  <c r="AD107" i="18"/>
  <c r="O44" i="18"/>
  <c r="O73" i="18"/>
  <c r="O28" i="18"/>
  <c r="AB44" i="18" l="1"/>
  <c r="AB73" i="18"/>
  <c r="Y72" i="18"/>
  <c r="AB72" i="18" s="1"/>
  <c r="I13" i="19"/>
  <c r="H13" i="19"/>
  <c r="J12" i="19"/>
  <c r="G12" i="19" s="1"/>
  <c r="J11" i="19"/>
  <c r="F11" i="19" s="1"/>
  <c r="J10" i="19"/>
  <c r="G10" i="19" s="1"/>
  <c r="J9" i="19"/>
  <c r="O40" i="18" l="1"/>
  <c r="N20" i="18"/>
  <c r="G11" i="19"/>
  <c r="F12" i="19"/>
  <c r="F10" i="19"/>
  <c r="J13" i="19"/>
  <c r="F9" i="19"/>
  <c r="G9" i="19"/>
  <c r="C9" i="19" s="1"/>
  <c r="O38" i="18" l="1"/>
  <c r="N21" i="18"/>
  <c r="O102" i="18"/>
  <c r="O111" i="18"/>
  <c r="O114" i="18"/>
  <c r="O22" i="18"/>
  <c r="P22" i="18" s="1"/>
  <c r="O122" i="18"/>
  <c r="O25" i="18"/>
  <c r="O98" i="18"/>
  <c r="P40" i="18"/>
  <c r="Q40" i="18" s="1"/>
  <c r="O110" i="18"/>
  <c r="O90" i="18"/>
  <c r="O69" i="18"/>
  <c r="O94" i="18"/>
  <c r="O65" i="18"/>
  <c r="O64" i="18"/>
  <c r="O83" i="18"/>
  <c r="O106" i="18"/>
  <c r="O61" i="18"/>
  <c r="O37" i="18"/>
  <c r="P37" i="18" s="1"/>
  <c r="O113" i="18"/>
  <c r="O85" i="18"/>
  <c r="O79" i="18"/>
  <c r="O105" i="18"/>
  <c r="O97" i="18"/>
  <c r="O23" i="18"/>
  <c r="O127" i="18"/>
  <c r="O131" i="18"/>
  <c r="O50" i="18"/>
  <c r="O93" i="18"/>
  <c r="O57" i="18"/>
  <c r="O33" i="18"/>
  <c r="O81" i="18"/>
  <c r="O60" i="18"/>
  <c r="O88" i="18"/>
  <c r="O100" i="18"/>
  <c r="O53" i="18"/>
  <c r="O115" i="18"/>
  <c r="O35" i="18"/>
  <c r="O19" i="18"/>
  <c r="N19" i="18"/>
  <c r="O58" i="18"/>
  <c r="O17" i="18"/>
  <c r="N17" i="18"/>
  <c r="O84" i="18"/>
  <c r="O89" i="18"/>
  <c r="O49" i="18"/>
  <c r="O86" i="18"/>
  <c r="O92" i="18"/>
  <c r="O107" i="18"/>
  <c r="O80" i="18"/>
  <c r="O99" i="18"/>
  <c r="O104" i="18"/>
  <c r="O119" i="18"/>
  <c r="O96" i="18"/>
  <c r="O101" i="18"/>
  <c r="O54" i="18"/>
  <c r="O52" i="18"/>
  <c r="O34" i="18"/>
  <c r="O77" i="18"/>
  <c r="P77" i="18" s="1"/>
  <c r="Q77" i="18" s="1"/>
  <c r="O82" i="18"/>
  <c r="O103" i="18"/>
  <c r="O87" i="18"/>
  <c r="O56" i="18"/>
  <c r="P56" i="18" s="1"/>
  <c r="Q56" i="18" s="1"/>
  <c r="O75" i="18"/>
  <c r="O95" i="18"/>
  <c r="O62" i="18"/>
  <c r="P62" i="18" s="1"/>
  <c r="Q62" i="18" s="1"/>
  <c r="O74" i="18"/>
  <c r="O91" i="18"/>
  <c r="O20" i="18"/>
  <c r="P20" i="18" s="1"/>
  <c r="Q20" i="18" s="1"/>
  <c r="O36" i="18"/>
  <c r="O123" i="18"/>
  <c r="O76" i="18"/>
  <c r="P76" i="18" s="1"/>
  <c r="Q76" i="18" s="1"/>
  <c r="O78" i="18"/>
  <c r="O109" i="18"/>
  <c r="P109" i="18" s="1"/>
  <c r="Q109" i="18" s="1"/>
  <c r="O112" i="18"/>
  <c r="P112" i="18" s="1"/>
  <c r="Q112" i="18" s="1"/>
  <c r="O108" i="18"/>
  <c r="P108" i="18" s="1"/>
  <c r="Q108" i="18" s="1"/>
  <c r="O120" i="18"/>
  <c r="P120" i="18" s="1"/>
  <c r="Q120" i="18" s="1"/>
  <c r="O116" i="18"/>
  <c r="P116" i="18" s="1"/>
  <c r="Q116" i="18" s="1"/>
  <c r="O21" i="18"/>
  <c r="H20" i="19"/>
  <c r="K11" i="19" s="1"/>
  <c r="P64" i="18" l="1"/>
  <c r="Q64" i="18" s="1"/>
  <c r="P123" i="18"/>
  <c r="Q123" i="18" s="1"/>
  <c r="P102" i="18"/>
  <c r="Q102" i="18" s="1"/>
  <c r="P87" i="18"/>
  <c r="Q87" i="18" s="1"/>
  <c r="P78" i="18"/>
  <c r="Q78" i="18" s="1"/>
  <c r="P114" i="18"/>
  <c r="Q114" i="18" s="1"/>
  <c r="P122" i="18"/>
  <c r="Q122" i="18" s="1"/>
  <c r="P98" i="18"/>
  <c r="Q98" i="18" s="1"/>
  <c r="P106" i="18"/>
  <c r="Q106" i="18" s="1"/>
  <c r="P110" i="18"/>
  <c r="Q110" i="18" s="1"/>
  <c r="P69" i="18"/>
  <c r="Q69" i="18" s="1"/>
  <c r="P38" i="18"/>
  <c r="Q38" i="18" s="1"/>
  <c r="P82" i="18"/>
  <c r="Q82" i="18" s="1"/>
  <c r="P61" i="18"/>
  <c r="Q61" i="18" s="1"/>
  <c r="P91" i="18"/>
  <c r="Q91" i="18" s="1"/>
  <c r="P21" i="18"/>
  <c r="Q21" i="18" s="1"/>
  <c r="P90" i="18"/>
  <c r="Q90" i="18" s="1"/>
  <c r="P111" i="18"/>
  <c r="Q111" i="18" s="1"/>
  <c r="P34" i="18"/>
  <c r="Q34" i="18" s="1"/>
  <c r="P94" i="18"/>
  <c r="Q94" i="18" s="1"/>
  <c r="P25" i="18"/>
  <c r="Q25" i="18" s="1"/>
  <c r="P65" i="18"/>
  <c r="Q65" i="18" s="1"/>
  <c r="P83" i="18"/>
  <c r="Q83" i="18" s="1"/>
  <c r="P103" i="18"/>
  <c r="Q103" i="18" s="1"/>
  <c r="P36" i="18"/>
  <c r="Q36" i="18" s="1"/>
  <c r="P95" i="18"/>
  <c r="Q95" i="18" s="1"/>
  <c r="P75" i="18"/>
  <c r="Q75" i="18" s="1"/>
  <c r="P84" i="18"/>
  <c r="Q84" i="18" s="1"/>
  <c r="U149" i="18"/>
  <c r="U169" i="18"/>
  <c r="U160" i="18"/>
  <c r="U165" i="18"/>
  <c r="U72" i="18"/>
  <c r="U140" i="18"/>
  <c r="U71" i="18"/>
  <c r="U144" i="18"/>
  <c r="U137" i="18"/>
  <c r="U125" i="18"/>
  <c r="U148" i="18"/>
  <c r="U45" i="18"/>
  <c r="U41" i="18"/>
  <c r="U164" i="18"/>
  <c r="U129" i="18"/>
  <c r="U141" i="18"/>
  <c r="U152" i="18"/>
  <c r="U24" i="18"/>
  <c r="U157" i="18"/>
  <c r="U46" i="18"/>
  <c r="U26" i="18"/>
  <c r="U124" i="18"/>
  <c r="U153" i="18"/>
  <c r="U168" i="18"/>
  <c r="U37" i="18"/>
  <c r="Q37" i="18"/>
  <c r="U132" i="18"/>
  <c r="U39" i="18"/>
  <c r="U166" i="18"/>
  <c r="U29" i="18"/>
  <c r="U27" i="18"/>
  <c r="U43" i="18"/>
  <c r="U128" i="18"/>
  <c r="U167" i="18"/>
  <c r="U145" i="18"/>
  <c r="U161" i="18"/>
  <c r="U133" i="18"/>
  <c r="U14" i="18"/>
  <c r="U67" i="18"/>
  <c r="U156" i="18"/>
  <c r="U136" i="18"/>
  <c r="U22" i="18"/>
  <c r="Q22" i="18"/>
  <c r="P80" i="18"/>
  <c r="Q80" i="18" s="1"/>
  <c r="P60" i="18"/>
  <c r="Q60" i="18" s="1"/>
  <c r="P113" i="18"/>
  <c r="Q113" i="18" s="1"/>
  <c r="P92" i="18"/>
  <c r="Q92" i="18" s="1"/>
  <c r="P88" i="18"/>
  <c r="Q88" i="18" s="1"/>
  <c r="P85" i="18"/>
  <c r="Q85" i="18" s="1"/>
  <c r="P97" i="18"/>
  <c r="Q97" i="18" s="1"/>
  <c r="P35" i="18"/>
  <c r="Q35" i="18" s="1"/>
  <c r="P104" i="18"/>
  <c r="Q104" i="18" s="1"/>
  <c r="P100" i="18"/>
  <c r="Q100" i="18" s="1"/>
  <c r="P96" i="18"/>
  <c r="Q96" i="18" s="1"/>
  <c r="P33" i="18"/>
  <c r="Q33" i="18" s="1"/>
  <c r="P89" i="18"/>
  <c r="Q89" i="18" s="1"/>
  <c r="P101" i="18"/>
  <c r="Q101" i="18" s="1"/>
  <c r="P81" i="18"/>
  <c r="Q81" i="18" s="1"/>
  <c r="P52" i="18"/>
  <c r="Q52" i="18" s="1"/>
  <c r="P93" i="18"/>
  <c r="Q93" i="18" s="1"/>
  <c r="P105" i="18"/>
  <c r="Q105" i="18" s="1"/>
  <c r="P57" i="18"/>
  <c r="Q57" i="18" s="1"/>
  <c r="P74" i="18"/>
  <c r="Q74" i="18" s="1"/>
  <c r="P53" i="18"/>
  <c r="Q53" i="18" s="1"/>
  <c r="P107" i="18"/>
  <c r="Q107" i="18" s="1"/>
  <c r="P115" i="18"/>
  <c r="Q115" i="18" s="1"/>
  <c r="P17" i="18"/>
  <c r="Q17" i="18" s="1"/>
  <c r="P99" i="18"/>
  <c r="Q99" i="18" s="1"/>
  <c r="P86" i="18"/>
  <c r="Q86" i="18" s="1"/>
  <c r="P19" i="18"/>
  <c r="Q19" i="18" s="1"/>
  <c r="P58" i="18"/>
  <c r="Q58" i="18" s="1"/>
  <c r="P119" i="18"/>
  <c r="Q119" i="18" s="1"/>
  <c r="P50" i="18"/>
  <c r="Q50" i="18" s="1"/>
  <c r="P49" i="18"/>
  <c r="Q49" i="18" s="1"/>
  <c r="P79" i="18"/>
  <c r="Q79" i="18" s="1"/>
  <c r="P54" i="18"/>
  <c r="Q54" i="18" s="1"/>
  <c r="P23" i="18"/>
  <c r="Q23" i="18" s="1"/>
  <c r="P131" i="18"/>
  <c r="Q131" i="18" s="1"/>
  <c r="P127" i="18"/>
  <c r="Q127" i="18" s="1"/>
  <c r="D9" i="19"/>
  <c r="E9" i="19"/>
  <c r="B12" i="19"/>
  <c r="D12" i="19"/>
  <c r="B10" i="19"/>
  <c r="E11" i="19"/>
  <c r="E12" i="19"/>
  <c r="E10" i="19"/>
  <c r="D11" i="19"/>
  <c r="K9" i="19"/>
  <c r="K10" i="19"/>
  <c r="B11" i="19"/>
  <c r="B9" i="19"/>
  <c r="K12" i="19"/>
  <c r="D10" i="19"/>
  <c r="U64" i="18" l="1"/>
  <c r="U68" i="18"/>
  <c r="G17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Imanouel Gatterer</author>
  </authors>
  <commentList>
    <comment ref="J136" authorId="0" shapeId="0" xr:uid="{A7500CBA-107B-40BF-A63D-B7A1E4D05E3A}">
      <text>
        <r>
          <rPr>
            <b/>
            <sz val="9"/>
            <color indexed="81"/>
            <rFont val="Tahoma"/>
            <family val="2"/>
          </rPr>
          <t>Imanouel Gatterer:</t>
        </r>
        <r>
          <rPr>
            <sz val="9"/>
            <color indexed="81"/>
            <rFont val="Tahoma"/>
            <family val="2"/>
          </rPr>
          <t xml:space="preserve">
התווספה חניית נכה</t>
        </r>
      </text>
    </comment>
  </commentList>
</comments>
</file>

<file path=xl/sharedStrings.xml><?xml version="1.0" encoding="utf-8"?>
<sst xmlns="http://schemas.openxmlformats.org/spreadsheetml/2006/main" count="726" uniqueCount="134">
  <si>
    <t xml:space="preserve">הצהרה על דירות - לפי מכרז מחיר מטרה </t>
  </si>
  <si>
    <t>שטח דירה מקס' למחיר מטרה</t>
  </si>
  <si>
    <t>כמות חדרים</t>
  </si>
  <si>
    <t>סה"כ</t>
  </si>
  <si>
    <t>דירות לשוק חופשי</t>
  </si>
  <si>
    <t>משתכן ביחידות</t>
  </si>
  <si>
    <t>משתכן באחוזים</t>
  </si>
  <si>
    <t>ממוצע דירות קטנות/ גדולות</t>
  </si>
  <si>
    <t>נספח ג'4 לחוזה - דוגמא</t>
  </si>
  <si>
    <t>מס' חד'</t>
  </si>
  <si>
    <t>שטח מירבי</t>
  </si>
  <si>
    <t xml:space="preserve">נספח ג4 כפוף לתיקונים בהתאם להנחיות משרד הבינוי והשיכון או מי מטעמו </t>
  </si>
  <si>
    <t>שם קבלן/יזם:</t>
  </si>
  <si>
    <t>רמי צרפתי חברה לבניה בע"מ</t>
  </si>
  <si>
    <t>שם ישוב:</t>
  </si>
  <si>
    <t>באר יעקב</t>
  </si>
  <si>
    <t>מספר מתחם:</t>
  </si>
  <si>
    <t>מספר יח"ד במתחם:</t>
  </si>
  <si>
    <t>מקסימלי</t>
  </si>
  <si>
    <t>מספר יח"ד במחיר למשתכן:</t>
  </si>
  <si>
    <t>מחיר מ"ר כולל מע"מ בש"ח (ללא הצמדה):</t>
  </si>
  <si>
    <t>אחוז דירות מחיר למשתכן:</t>
  </si>
  <si>
    <t>מספר/שם מבנה</t>
  </si>
  <si>
    <t>מספר מגרש בתב"ע</t>
  </si>
  <si>
    <t>מספר דירה</t>
  </si>
  <si>
    <t xml:space="preserve">טיפוס דירה (תשריט) </t>
  </si>
  <si>
    <t>קומה</t>
  </si>
  <si>
    <t>מספר חדרים</t>
  </si>
  <si>
    <t>שטח דירה (מטר)</t>
  </si>
  <si>
    <t>שטח מרפסת שמש ו/או שטח גינה צמודה</t>
  </si>
  <si>
    <t>שטח מחסן</t>
  </si>
  <si>
    <t>מספר חניות</t>
  </si>
  <si>
    <t>מחיר דירה
לפי
מחיר מ"ר עיקרי  בנוי ללא מקדמי קומות</t>
  </si>
  <si>
    <t>מכירה במסגרת מחיר מטרה (כן/לא)</t>
  </si>
  <si>
    <t xml:space="preserve">חישוב מחיר דירה לאחר תוספת/הפחת מקדמי קומות </t>
  </si>
  <si>
    <r>
      <t xml:space="preserve">מחיר דירת מחיר מטרה </t>
    </r>
    <r>
      <rPr>
        <sz val="11"/>
        <color theme="3"/>
        <rFont val="Arial"/>
        <family val="2"/>
        <scheme val="minor"/>
      </rPr>
      <t>(חישוב מחיר דירה לאחר הנחה של 20% עד ל300 אש"ח)</t>
    </r>
  </si>
  <si>
    <r>
      <t xml:space="preserve">מחיר הדירה המעודכן </t>
    </r>
    <r>
      <rPr>
        <sz val="11"/>
        <color theme="3"/>
        <rFont val="Arial"/>
        <family val="2"/>
        <scheme val="minor"/>
      </rPr>
      <t>(מחיר דירה ללא הנחה כפול מקדם ההצמדה)</t>
    </r>
  </si>
  <si>
    <r>
      <t xml:space="preserve">גובה ההנחה             </t>
    </r>
    <r>
      <rPr>
        <sz val="11"/>
        <color theme="3"/>
        <rFont val="Arial"/>
        <family val="2"/>
        <scheme val="minor"/>
      </rPr>
      <t>(מחיר הדירה המעודכן פחות מחיר דירת מחיר מטרה )</t>
    </r>
  </si>
  <si>
    <t xml:space="preserve">מחיר דירה סופי            </t>
  </si>
  <si>
    <t>הערות</t>
  </si>
  <si>
    <t>מספר מחסן</t>
  </si>
  <si>
    <t>הפרש מעל 500K</t>
  </si>
  <si>
    <t>שטח מרפסת עד 30</t>
  </si>
  <si>
    <t>שטח מרפסת מעל 30</t>
  </si>
  <si>
    <t>מ"ר אקוו'</t>
  </si>
  <si>
    <t>מ"ר אקוו' אחרי הפחתה</t>
  </si>
  <si>
    <t>מחיר למשתכן</t>
  </si>
  <si>
    <t>A1</t>
  </si>
  <si>
    <t>1B</t>
  </si>
  <si>
    <t>קרקע</t>
  </si>
  <si>
    <t>לא</t>
  </si>
  <si>
    <t>1A</t>
  </si>
  <si>
    <t>1D</t>
  </si>
  <si>
    <t>1C</t>
  </si>
  <si>
    <t>כן</t>
  </si>
  <si>
    <t>1E</t>
  </si>
  <si>
    <t>שטח דירה ממוצע בבניין</t>
  </si>
  <si>
    <t>אחוז דירות מחיר למשתכן בבניין</t>
  </si>
  <si>
    <t>A2</t>
  </si>
  <si>
    <t>2A</t>
  </si>
  <si>
    <t>2B</t>
  </si>
  <si>
    <t>2C</t>
  </si>
  <si>
    <t>2D</t>
  </si>
  <si>
    <t>2E</t>
  </si>
  <si>
    <t>B1</t>
  </si>
  <si>
    <t>3A</t>
  </si>
  <si>
    <t>3B</t>
  </si>
  <si>
    <t>3C</t>
  </si>
  <si>
    <t>3D</t>
  </si>
  <si>
    <t>3E</t>
  </si>
  <si>
    <t>3F</t>
  </si>
  <si>
    <t>3G</t>
  </si>
  <si>
    <t>3H</t>
  </si>
  <si>
    <t>B2</t>
  </si>
  <si>
    <t>4A</t>
  </si>
  <si>
    <t>4B</t>
  </si>
  <si>
    <t>4C</t>
  </si>
  <si>
    <t>4D</t>
  </si>
  <si>
    <t>4E</t>
  </si>
  <si>
    <t>4F</t>
  </si>
  <si>
    <t>4G</t>
  </si>
  <si>
    <t>4H</t>
  </si>
  <si>
    <t>סה"כ שטח דירות מחיר למשתכן במתחם</t>
  </si>
  <si>
    <t>מספר דירות מחיר למשתכן</t>
  </si>
  <si>
    <t>שטח דירה ממוצע במתחם</t>
  </si>
  <si>
    <t>אחוז דירות מחיר למשתכן</t>
  </si>
  <si>
    <r>
      <rPr>
        <b/>
        <sz val="16"/>
        <color theme="1"/>
        <rFont val="Arial"/>
        <family val="2"/>
        <scheme val="minor"/>
      </rPr>
      <t>הצהרה</t>
    </r>
    <r>
      <rPr>
        <sz val="12"/>
        <color theme="1"/>
        <rFont val="Arial"/>
        <family val="2"/>
        <charset val="177"/>
        <scheme val="minor"/>
      </rPr>
      <t xml:space="preserve">
אנו מצהירים שחישוב השטחים ומפרט הדירות לעיל בהתאם לדרישות מכרז מחיר למשתכן</t>
    </r>
  </si>
  <si>
    <t xml:space="preserve">                     יזם / קבלן                          אדריכל                              מודד                                 עו"ד              </t>
  </si>
  <si>
    <t xml:space="preserve">   
      תאריך:       ______________     ______________        ________________     ________________
      חתימה:      ______________     ______________        ________________     ________________</t>
  </si>
  <si>
    <t>מתחם</t>
  </si>
  <si>
    <t>מספר בניין</t>
  </si>
  <si>
    <t>יחס שוק חופשי</t>
  </si>
  <si>
    <t>אחוז מינמלי לשוק חופשי</t>
  </si>
  <si>
    <t>אחוז מקסימלי לשוק חופשי</t>
  </si>
  <si>
    <t>אחוז יח"ד שוק חופשי</t>
  </si>
  <si>
    <t>אחוז יח"ד משתכן</t>
  </si>
  <si>
    <t>יח"ד משתכן</t>
  </si>
  <si>
    <t>יח"ד שוק חופשי</t>
  </si>
  <si>
    <t>סה"כ דירות</t>
  </si>
  <si>
    <t>אחוז שוק חופשי במתחם</t>
  </si>
  <si>
    <t>מספר חניה</t>
  </si>
  <si>
    <t>48,49</t>
  </si>
  <si>
    <t>211, נ-5</t>
  </si>
  <si>
    <t>208, 207</t>
  </si>
  <si>
    <t>69,70</t>
  </si>
  <si>
    <t>87,88</t>
  </si>
  <si>
    <t>55,54</t>
  </si>
  <si>
    <t>56,57</t>
  </si>
  <si>
    <t>33,34</t>
  </si>
  <si>
    <t>31,32</t>
  </si>
  <si>
    <t>35,36</t>
  </si>
  <si>
    <t>37,38</t>
  </si>
  <si>
    <t>39,40</t>
  </si>
  <si>
    <t>44,45</t>
  </si>
  <si>
    <t>46,47</t>
  </si>
  <si>
    <t>50,51</t>
  </si>
  <si>
    <t>52,53</t>
  </si>
  <si>
    <t>16,17</t>
  </si>
  <si>
    <t>נ-3, 59</t>
  </si>
  <si>
    <t>נ-4, 64</t>
  </si>
  <si>
    <t>22,23</t>
  </si>
  <si>
    <t>145, נ-2</t>
  </si>
  <si>
    <t>144, נ-1</t>
  </si>
  <si>
    <t>צפון / דרום</t>
  </si>
  <si>
    <t>צפון / מערב / דרום</t>
  </si>
  <si>
    <t>צפון / מזרח / דרום</t>
  </si>
  <si>
    <t>מזרח / דרום</t>
  </si>
  <si>
    <t>דרום / מערב</t>
  </si>
  <si>
    <t>מערב / צפון</t>
  </si>
  <si>
    <t>צפון / מזרח</t>
  </si>
  <si>
    <t>מערב / צפון / מזרח</t>
  </si>
  <si>
    <t>מזרח / דרום / מערב</t>
  </si>
  <si>
    <t>דרום / מזרח / צפון</t>
  </si>
  <si>
    <t>כיווני אוויר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</si>
</sst>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0.0%"/>
    <numFmt numFmtId="165" formatCode="0.0"/>
    <numFmt numFmtId="166" formatCode="_ &quot;₪&quot;\ * #,##0_ ;_ &quot;₪&quot;\ * \-#,##0_ ;_ &quot;₪&quot;\ * &quot;-&quot;??_ ;_ @_ "/>
    <numFmt numFmtId="167" formatCode="_ * #,##0_ ;_ * \-#,##0_ ;_ * &quot;-&quot;??_ ;_ @_ "/>
    <numFmt numFmtId="168" formatCode="&quot;₪&quot;\ #,##0"/>
  </numFmts>
  <fonts count="23" x14ac:knownFonts="1">
    <font>
      <sz val="11"/>
      <color theme="1"/>
      <name val="Arial"/>
      <family val="2"/>
      <charset val="177"/>
      <scheme val="minor"/>
    </font>
    <font>
      <b/>
      <sz val="11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4"/>
      <color theme="3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rgb="FF0070C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theme="3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u/>
      <sz val="14"/>
      <color rgb="FFFF0000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4"/>
      <color rgb="FFFF00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David"/>
      <family val="2"/>
      <charset val="177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CC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3" borderId="6" applyNumberFormat="0" applyFont="0" applyAlignment="0" applyProtection="0"/>
    <xf numFmtId="43" fontId="14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0" fillId="0" borderId="4" xfId="0" applyBorder="1" applyAlignment="1">
      <alignment horizontal="center"/>
    </xf>
    <xf numFmtId="0" fontId="2" fillId="7" borderId="57" xfId="0" applyFont="1" applyFill="1" applyBorder="1"/>
    <xf numFmtId="0" fontId="0" fillId="7" borderId="31" xfId="0" applyFill="1" applyBorder="1"/>
    <xf numFmtId="0" fontId="2" fillId="7" borderId="31" xfId="0" applyFont="1" applyFill="1" applyBorder="1" applyAlignment="1">
      <alignment wrapText="1"/>
    </xf>
    <xf numFmtId="0" fontId="2" fillId="7" borderId="32" xfId="0" applyFont="1" applyFill="1" applyBorder="1"/>
    <xf numFmtId="0" fontId="2" fillId="7" borderId="58" xfId="0" applyFont="1" applyFill="1" applyBorder="1"/>
    <xf numFmtId="0" fontId="2" fillId="7" borderId="31" xfId="0" applyFont="1" applyFill="1" applyBorder="1"/>
    <xf numFmtId="0" fontId="0" fillId="7" borderId="58" xfId="0" applyFill="1" applyBorder="1" applyAlignment="1">
      <alignment horizontal="center"/>
    </xf>
    <xf numFmtId="0" fontId="0" fillId="0" borderId="59" xfId="0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61" xfId="0" applyBorder="1"/>
    <xf numFmtId="2" fontId="17" fillId="0" borderId="4" xfId="0" applyNumberFormat="1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9" fillId="8" borderId="11" xfId="0" applyFont="1" applyFill="1" applyBorder="1" applyAlignment="1">
      <alignment horizontal="center"/>
    </xf>
    <xf numFmtId="9" fontId="19" fillId="8" borderId="12" xfId="2" applyFont="1" applyFill="1" applyBorder="1" applyAlignment="1">
      <alignment horizontal="center"/>
    </xf>
    <xf numFmtId="0" fontId="2" fillId="4" borderId="33" xfId="0" applyFont="1" applyFill="1" applyBorder="1" applyProtection="1">
      <protection locked="0"/>
    </xf>
    <xf numFmtId="0" fontId="2" fillId="4" borderId="34" xfId="0" applyFont="1" applyFill="1" applyBorder="1" applyProtection="1">
      <protection locked="0"/>
    </xf>
    <xf numFmtId="166" fontId="2" fillId="4" borderId="34" xfId="1" applyNumberFormat="1" applyFont="1" applyFill="1" applyBorder="1" applyAlignment="1" applyProtection="1">
      <alignment horizontal="center" wrapText="1"/>
      <protection locked="0"/>
    </xf>
    <xf numFmtId="166" fontId="2" fillId="4" borderId="35" xfId="1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22" fillId="9" borderId="16" xfId="0" applyNumberFormat="1" applyFont="1" applyFill="1" applyBorder="1" applyProtection="1">
      <protection locked="0"/>
    </xf>
    <xf numFmtId="1" fontId="22" fillId="9" borderId="17" xfId="0" applyNumberFormat="1" applyFont="1" applyFill="1" applyBorder="1" applyProtection="1"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31" xfId="0" applyFill="1" applyBorder="1" applyProtection="1">
      <protection locked="0"/>
    </xf>
    <xf numFmtId="164" fontId="0" fillId="4" borderId="32" xfId="2" applyNumberFormat="1" applyFont="1" applyFill="1" applyBorder="1" applyProtection="1">
      <protection locked="0"/>
    </xf>
    <xf numFmtId="1" fontId="22" fillId="6" borderId="4" xfId="0" applyNumberFormat="1" applyFont="1" applyFill="1" applyBorder="1" applyProtection="1">
      <protection locked="0"/>
    </xf>
    <xf numFmtId="0" fontId="0" fillId="4" borderId="5" xfId="0" applyFill="1" applyBorder="1" applyProtection="1">
      <protection locked="0"/>
    </xf>
    <xf numFmtId="164" fontId="0" fillId="4" borderId="36" xfId="2" applyNumberFormat="1" applyFont="1" applyFill="1" applyBorder="1" applyProtection="1">
      <protection locked="0"/>
    </xf>
    <xf numFmtId="165" fontId="22" fillId="6" borderId="4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4" borderId="31" xfId="2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2" fillId="4" borderId="37" xfId="0" applyFont="1" applyFill="1" applyBorder="1" applyProtection="1">
      <protection locked="0"/>
    </xf>
    <xf numFmtId="0" fontId="0" fillId="4" borderId="38" xfId="0" applyFill="1" applyBorder="1" applyProtection="1">
      <protection locked="0"/>
    </xf>
    <xf numFmtId="164" fontId="0" fillId="4" borderId="5" xfId="2" applyNumberFormat="1" applyFont="1" applyFill="1" applyBorder="1" applyProtection="1">
      <protection locked="0"/>
    </xf>
    <xf numFmtId="0" fontId="0" fillId="3" borderId="39" xfId="3" applyFont="1" applyBorder="1" applyProtection="1">
      <protection locked="0"/>
    </xf>
    <xf numFmtId="0" fontId="0" fillId="3" borderId="40" xfId="3" applyFont="1" applyBorder="1" applyProtection="1">
      <protection locked="0"/>
    </xf>
    <xf numFmtId="0" fontId="2" fillId="3" borderId="40" xfId="3" applyFont="1" applyBorder="1" applyProtection="1">
      <protection locked="0"/>
    </xf>
    <xf numFmtId="0" fontId="0" fillId="3" borderId="41" xfId="3" applyFont="1" applyBorder="1" applyProtection="1">
      <protection locked="0"/>
    </xf>
    <xf numFmtId="0" fontId="0" fillId="5" borderId="7" xfId="0" applyFill="1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4" fontId="0" fillId="2" borderId="1" xfId="0" applyNumberFormat="1" applyFill="1" applyBorder="1" applyProtection="1">
      <protection locked="0"/>
    </xf>
    <xf numFmtId="10" fontId="0" fillId="5" borderId="7" xfId="0" applyNumberFormat="1" applyFill="1" applyBorder="1" applyProtection="1">
      <protection locked="0"/>
    </xf>
    <xf numFmtId="168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9" fontId="0" fillId="0" borderId="0" xfId="2" applyFont="1" applyProtection="1"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0" fillId="6" borderId="73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7" fillId="6" borderId="74" xfId="0" applyFont="1" applyFill="1" applyBorder="1" applyAlignment="1" applyProtection="1">
      <alignment horizontal="center" vertical="center"/>
      <protection locked="0"/>
    </xf>
    <xf numFmtId="0" fontId="0" fillId="6" borderId="74" xfId="0" applyFill="1" applyBorder="1" applyAlignment="1" applyProtection="1">
      <alignment horizontal="center" vertical="center"/>
      <protection locked="0"/>
    </xf>
    <xf numFmtId="0" fontId="0" fillId="6" borderId="74" xfId="0" applyFill="1" applyBorder="1" applyAlignment="1" applyProtection="1">
      <alignment horizontal="center"/>
      <protection locked="0"/>
    </xf>
    <xf numFmtId="2" fontId="0" fillId="6" borderId="74" xfId="0" applyNumberFormat="1" applyFill="1" applyBorder="1" applyAlignment="1" applyProtection="1">
      <alignment horizontal="center"/>
      <protection locked="0"/>
    </xf>
    <xf numFmtId="2" fontId="0" fillId="6" borderId="75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7" fontId="0" fillId="0" borderId="9" xfId="4" applyNumberFormat="1" applyFont="1" applyBorder="1" applyAlignment="1" applyProtection="1">
      <alignment horizontal="center" vertical="center"/>
      <protection locked="0"/>
    </xf>
    <xf numFmtId="167" fontId="0" fillId="0" borderId="9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6" borderId="45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7" fillId="6" borderId="46" xfId="0" applyFont="1" applyFill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6" borderId="46" xfId="0" applyFill="1" applyBorder="1" applyAlignment="1" applyProtection="1">
      <alignment horizontal="center" vertical="center"/>
      <protection locked="0"/>
    </xf>
    <xf numFmtId="2" fontId="0" fillId="6" borderId="46" xfId="0" applyNumberFormat="1" applyFill="1" applyBorder="1" applyAlignment="1" applyProtection="1">
      <alignment horizontal="center"/>
      <protection locked="0"/>
    </xf>
    <xf numFmtId="2" fontId="0" fillId="6" borderId="47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6" borderId="48" xfId="0" applyFill="1" applyBorder="1" applyAlignment="1" applyProtection="1">
      <alignment horizontal="center" vertical="center"/>
      <protection locked="0"/>
    </xf>
    <xf numFmtId="0" fontId="17" fillId="6" borderId="4" xfId="0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2" fontId="0" fillId="6" borderId="4" xfId="0" applyNumberFormat="1" applyFill="1" applyBorder="1" applyAlignment="1" applyProtection="1">
      <alignment horizontal="center"/>
      <protection locked="0"/>
    </xf>
    <xf numFmtId="2" fontId="0" fillId="6" borderId="49" xfId="0" applyNumberFormat="1" applyFill="1" applyBorder="1" applyAlignment="1" applyProtection="1">
      <alignment horizontal="center"/>
      <protection locked="0"/>
    </xf>
    <xf numFmtId="167" fontId="0" fillId="0" borderId="0" xfId="4" applyNumberFormat="1" applyFont="1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0" fontId="0" fillId="6" borderId="46" xfId="0" applyFill="1" applyBorder="1" applyAlignment="1" applyProtection="1">
      <alignment horizontal="center"/>
      <protection locked="0"/>
    </xf>
    <xf numFmtId="2" fontId="6" fillId="0" borderId="65" xfId="0" applyNumberFormat="1" applyFont="1" applyBorder="1" applyAlignment="1" applyProtection="1">
      <alignment horizontal="center"/>
      <protection locked="0"/>
    </xf>
    <xf numFmtId="0" fontId="0" fillId="0" borderId="65" xfId="0" applyBorder="1" applyProtection="1">
      <protection locked="0"/>
    </xf>
    <xf numFmtId="0" fontId="6" fillId="0" borderId="65" xfId="0" applyFont="1" applyBorder="1" applyProtection="1">
      <protection locked="0"/>
    </xf>
    <xf numFmtId="164" fontId="6" fillId="0" borderId="65" xfId="0" applyNumberFormat="1" applyFont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164" fontId="0" fillId="0" borderId="7" xfId="2" applyNumberFormat="1" applyFont="1" applyFill="1" applyBorder="1" applyAlignment="1" applyProtection="1">
      <alignment horizontal="center"/>
      <protection locked="0"/>
    </xf>
    <xf numFmtId="0" fontId="0" fillId="6" borderId="50" xfId="0" applyFill="1" applyBorder="1" applyAlignment="1" applyProtection="1">
      <alignment horizontal="center" vertical="center"/>
      <protection locked="0"/>
    </xf>
    <xf numFmtId="0" fontId="17" fillId="6" borderId="51" xfId="0" applyFont="1" applyFill="1" applyBorder="1" applyAlignment="1" applyProtection="1">
      <alignment horizontal="center" vertical="center"/>
      <protection locked="0"/>
    </xf>
    <xf numFmtId="0" fontId="0" fillId="6" borderId="51" xfId="0" applyFill="1" applyBorder="1" applyAlignment="1" applyProtection="1">
      <alignment horizontal="center" vertical="center"/>
      <protection locked="0"/>
    </xf>
    <xf numFmtId="0" fontId="0" fillId="6" borderId="51" xfId="0" applyFill="1" applyBorder="1" applyAlignment="1" applyProtection="1">
      <alignment horizontal="center"/>
      <protection locked="0"/>
    </xf>
    <xf numFmtId="2" fontId="0" fillId="6" borderId="51" xfId="0" applyNumberFormat="1" applyFill="1" applyBorder="1" applyAlignment="1" applyProtection="1">
      <alignment horizontal="center"/>
      <protection locked="0"/>
    </xf>
    <xf numFmtId="2" fontId="0" fillId="6" borderId="52" xfId="0" applyNumberForma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1" xfId="0" applyBorder="1" applyAlignment="1" applyProtection="1">
      <alignment horizontal="center"/>
      <protection locked="0"/>
    </xf>
    <xf numFmtId="2" fontId="0" fillId="0" borderId="51" xfId="0" applyNumberFormat="1" applyBorder="1" applyAlignment="1" applyProtection="1">
      <alignment horizontal="center"/>
      <protection locked="0"/>
    </xf>
    <xf numFmtId="2" fontId="0" fillId="0" borderId="52" xfId="0" applyNumberFormat="1" applyBorder="1" applyAlignment="1" applyProtection="1">
      <alignment horizontal="center"/>
      <protection locked="0"/>
    </xf>
    <xf numFmtId="0" fontId="0" fillId="6" borderId="53" xfId="0" applyFill="1" applyBorder="1" applyAlignment="1" applyProtection="1">
      <alignment horizontal="center" vertical="center"/>
      <protection locked="0"/>
    </xf>
    <xf numFmtId="0" fontId="17" fillId="6" borderId="54" xfId="0" applyFont="1" applyFill="1" applyBorder="1" applyAlignment="1" applyProtection="1">
      <alignment horizontal="center" vertical="center"/>
      <protection locked="0"/>
    </xf>
    <xf numFmtId="0" fontId="0" fillId="6" borderId="54" xfId="0" applyFill="1" applyBorder="1" applyAlignment="1" applyProtection="1">
      <alignment horizontal="center" vertical="center"/>
      <protection locked="0"/>
    </xf>
    <xf numFmtId="0" fontId="0" fillId="6" borderId="54" xfId="0" applyFill="1" applyBorder="1" applyAlignment="1" applyProtection="1">
      <alignment horizontal="center"/>
      <protection locked="0"/>
    </xf>
    <xf numFmtId="2" fontId="0" fillId="6" borderId="54" xfId="0" applyNumberFormat="1" applyFill="1" applyBorder="1" applyAlignment="1" applyProtection="1">
      <alignment horizontal="center"/>
      <protection locked="0"/>
    </xf>
    <xf numFmtId="2" fontId="0" fillId="6" borderId="55" xfId="0" applyNumberFormat="1" applyFill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64" fontId="6" fillId="0" borderId="10" xfId="0" applyNumberFormat="1" applyFont="1" applyBorder="1" applyAlignment="1" applyProtection="1">
      <alignment horizontal="center"/>
      <protection locked="0"/>
    </xf>
    <xf numFmtId="167" fontId="0" fillId="0" borderId="9" xfId="4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2" fontId="0" fillId="6" borderId="67" xfId="0" applyNumberFormat="1" applyFill="1" applyBorder="1" applyAlignment="1" applyProtection="1">
      <alignment horizontal="center"/>
      <protection locked="0"/>
    </xf>
    <xf numFmtId="2" fontId="0" fillId="6" borderId="18" xfId="0" applyNumberFormat="1" applyFill="1" applyBorder="1" applyAlignment="1" applyProtection="1">
      <alignment horizontal="center"/>
      <protection locked="0"/>
    </xf>
    <xf numFmtId="2" fontId="0" fillId="6" borderId="69" xfId="0" applyNumberForma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2" fontId="6" fillId="0" borderId="15" xfId="0" applyNumberFormat="1" applyFont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6" fillId="0" borderId="15" xfId="0" applyFont="1" applyBorder="1" applyProtection="1">
      <protection locked="0"/>
    </xf>
    <xf numFmtId="164" fontId="6" fillId="0" borderId="15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3" fontId="0" fillId="0" borderId="15" xfId="0" applyNumberForma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5" fontId="1" fillId="0" borderId="28" xfId="0" applyNumberFormat="1" applyFont="1" applyBorder="1" applyAlignment="1" applyProtection="1">
      <alignment horizontal="center"/>
      <protection locked="0"/>
    </xf>
    <xf numFmtId="3" fontId="0" fillId="0" borderId="14" xfId="0" applyNumberForma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9" fillId="0" borderId="27" xfId="0" applyFont="1" applyBorder="1" applyProtection="1">
      <protection locked="0"/>
    </xf>
    <xf numFmtId="164" fontId="1" fillId="0" borderId="30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7" fontId="12" fillId="0" borderId="0" xfId="4" applyNumberFormat="1" applyFont="1" applyAlignment="1" applyProtection="1">
      <alignment horizontal="center" vertical="center"/>
      <protection locked="0"/>
    </xf>
    <xf numFmtId="167" fontId="0" fillId="0" borderId="0" xfId="4" applyNumberFormat="1" applyFont="1" applyProtection="1">
      <protection locked="0"/>
    </xf>
    <xf numFmtId="10" fontId="0" fillId="0" borderId="0" xfId="0" applyNumberFormat="1" applyProtection="1">
      <protection locked="0"/>
    </xf>
    <xf numFmtId="167" fontId="0" fillId="0" borderId="0" xfId="4" applyNumberFormat="1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0" fillId="6" borderId="4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6" borderId="43" xfId="0" applyFont="1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/>
    </xf>
    <xf numFmtId="2" fontId="0" fillId="6" borderId="43" xfId="0" applyNumberFormat="1" applyFill="1" applyBorder="1" applyAlignment="1">
      <alignment horizontal="center"/>
    </xf>
    <xf numFmtId="0" fontId="0" fillId="6" borderId="45" xfId="0" applyFill="1" applyBorder="1" applyAlignment="1">
      <alignment horizontal="center" vertical="center"/>
    </xf>
    <xf numFmtId="0" fontId="17" fillId="6" borderId="46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2" fontId="0" fillId="6" borderId="46" xfId="0" applyNumberFormat="1" applyFill="1" applyBorder="1" applyAlignment="1">
      <alignment horizontal="center"/>
    </xf>
    <xf numFmtId="0" fontId="0" fillId="6" borderId="50" xfId="0" applyFill="1" applyBorder="1" applyAlignment="1">
      <alignment horizontal="center" vertical="center"/>
    </xf>
    <xf numFmtId="0" fontId="17" fillId="6" borderId="51" xfId="0" applyFont="1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6" borderId="51" xfId="0" applyFill="1" applyBorder="1" applyAlignment="1">
      <alignment horizontal="center"/>
    </xf>
    <xf numFmtId="2" fontId="0" fillId="6" borderId="51" xfId="0" applyNumberFormat="1" applyFill="1" applyBorder="1" applyAlignment="1">
      <alignment horizontal="center"/>
    </xf>
    <xf numFmtId="0" fontId="0" fillId="6" borderId="48" xfId="0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0" fontId="0" fillId="0" borderId="51" xfId="0" applyBorder="1" applyAlignment="1">
      <alignment horizontal="center"/>
    </xf>
    <xf numFmtId="2" fontId="0" fillId="0" borderId="51" xfId="0" applyNumberFormat="1" applyBorder="1" applyAlignment="1">
      <alignment horizontal="center"/>
    </xf>
    <xf numFmtId="0" fontId="0" fillId="6" borderId="46" xfId="0" applyFill="1" applyBorder="1" applyAlignment="1">
      <alignment horizontal="center"/>
    </xf>
    <xf numFmtId="0" fontId="17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2" fontId="0" fillId="6" borderId="44" xfId="0" applyNumberFormat="1" applyFill="1" applyBorder="1" applyAlignment="1">
      <alignment horizontal="center"/>
    </xf>
    <xf numFmtId="2" fontId="0" fillId="6" borderId="47" xfId="0" applyNumberFormat="1" applyFill="1" applyBorder="1" applyAlignment="1">
      <alignment horizontal="center"/>
    </xf>
    <xf numFmtId="2" fontId="0" fillId="6" borderId="52" xfId="0" applyNumberFormat="1" applyFill="1" applyBorder="1" applyAlignment="1">
      <alignment horizontal="center"/>
    </xf>
    <xf numFmtId="2" fontId="0" fillId="6" borderId="49" xfId="0" applyNumberFormat="1" applyFill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2" fontId="0" fillId="0" borderId="47" xfId="0" applyNumberFormat="1" applyBorder="1" applyAlignment="1">
      <alignment horizontal="center"/>
    </xf>
    <xf numFmtId="2" fontId="0" fillId="6" borderId="67" xfId="0" applyNumberFormat="1" applyFill="1" applyBorder="1" applyAlignment="1">
      <alignment horizontal="center"/>
    </xf>
    <xf numFmtId="2" fontId="0" fillId="6" borderId="16" xfId="0" applyNumberFormat="1" applyFill="1" applyBorder="1" applyAlignment="1">
      <alignment horizontal="center"/>
    </xf>
    <xf numFmtId="2" fontId="0" fillId="6" borderId="68" xfId="0" applyNumberFormat="1" applyFill="1" applyBorder="1" applyAlignment="1">
      <alignment horizontal="center"/>
    </xf>
    <xf numFmtId="2" fontId="0" fillId="6" borderId="1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3" applyFont="1" applyFill="1" applyBorder="1" applyProtection="1">
      <protection locked="0"/>
    </xf>
    <xf numFmtId="0" fontId="2" fillId="0" borderId="0" xfId="3" applyFon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76" xfId="0" applyBorder="1" applyProtection="1">
      <protection locked="0"/>
    </xf>
    <xf numFmtId="164" fontId="0" fillId="0" borderId="0" xfId="2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right"/>
      <protection locked="0"/>
    </xf>
    <xf numFmtId="3" fontId="0" fillId="0" borderId="4" xfId="0" applyNumberFormat="1" applyBorder="1" applyAlignment="1" applyProtection="1">
      <alignment horizontal="right"/>
      <protection locked="0"/>
    </xf>
    <xf numFmtId="3" fontId="0" fillId="0" borderId="53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0" fontId="0" fillId="0" borderId="10" xfId="0" applyBorder="1" applyAlignment="1" applyProtection="1">
      <alignment horizontal="right"/>
      <protection locked="0"/>
    </xf>
    <xf numFmtId="3" fontId="0" fillId="0" borderId="5" xfId="0" applyNumberFormat="1" applyBorder="1" applyAlignment="1" applyProtection="1">
      <alignment horizontal="right"/>
      <protection locked="0"/>
    </xf>
    <xf numFmtId="0" fontId="0" fillId="0" borderId="38" xfId="0" applyBorder="1" applyAlignment="1" applyProtection="1">
      <alignment horizontal="right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0" borderId="49" xfId="0" applyNumberFormat="1" applyBorder="1" applyAlignment="1" applyProtection="1">
      <alignment horizontal="center"/>
      <protection locked="0"/>
    </xf>
    <xf numFmtId="0" fontId="0" fillId="0" borderId="42" xfId="0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0" fontId="0" fillId="0" borderId="45" xfId="0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/>
      <protection locked="0"/>
    </xf>
    <xf numFmtId="2" fontId="0" fillId="0" borderId="46" xfId="0" applyNumberFormat="1" applyBorder="1" applyAlignment="1" applyProtection="1">
      <alignment horizontal="center"/>
      <protection locked="0"/>
    </xf>
    <xf numFmtId="2" fontId="0" fillId="0" borderId="47" xfId="0" applyNumberForma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2" fontId="0" fillId="0" borderId="54" xfId="0" applyNumberFormat="1" applyBorder="1" applyAlignment="1" applyProtection="1">
      <alignment horizontal="center"/>
      <protection locked="0"/>
    </xf>
    <xf numFmtId="2" fontId="0" fillId="0" borderId="55" xfId="0" applyNumberFormat="1" applyBorder="1" applyAlignment="1" applyProtection="1">
      <alignment horizontal="center"/>
      <protection locked="0"/>
    </xf>
    <xf numFmtId="0" fontId="0" fillId="0" borderId="50" xfId="0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2" fontId="0" fillId="0" borderId="67" xfId="0" applyNumberFormat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6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5" xfId="0" applyBorder="1" applyAlignment="1" applyProtection="1">
      <alignment horizontal="right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/>
      <protection locked="0"/>
    </xf>
    <xf numFmtId="2" fontId="0" fillId="0" borderId="43" xfId="0" applyNumberFormat="1" applyBorder="1" applyAlignment="1" applyProtection="1">
      <alignment horizontal="center"/>
      <protection locked="0"/>
    </xf>
    <xf numFmtId="2" fontId="0" fillId="0" borderId="68" xfId="0" applyNumberFormat="1" applyBorder="1" applyAlignment="1" applyProtection="1">
      <alignment horizontal="center"/>
      <protection locked="0"/>
    </xf>
    <xf numFmtId="2" fontId="0" fillId="0" borderId="18" xfId="0" applyNumberFormat="1" applyBorder="1" applyAlignment="1" applyProtection="1">
      <alignment horizontal="center"/>
      <protection locked="0"/>
    </xf>
    <xf numFmtId="2" fontId="0" fillId="0" borderId="67" xfId="0" applyNumberFormat="1" applyBorder="1" applyAlignment="1" applyProtection="1">
      <alignment horizont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53" xfId="0" applyBorder="1"/>
    <xf numFmtId="0" fontId="0" fillId="0" borderId="45" xfId="0" applyBorder="1"/>
    <xf numFmtId="0" fontId="0" fillId="0" borderId="64" xfId="0" applyBorder="1"/>
    <xf numFmtId="0" fontId="2" fillId="0" borderId="0" xfId="0" applyFont="1" applyAlignment="1" applyProtection="1">
      <alignment horizontal="center" wrapText="1"/>
      <protection locked="0"/>
    </xf>
    <xf numFmtId="0" fontId="2" fillId="0" borderId="70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1" fillId="0" borderId="19" xfId="0" applyFont="1" applyBorder="1" applyAlignment="1" applyProtection="1">
      <alignment horizontal="right" vertical="center"/>
      <protection locked="0"/>
    </xf>
    <xf numFmtId="0" fontId="1" fillId="0" borderId="20" xfId="0" applyFont="1" applyBorder="1" applyAlignment="1" applyProtection="1">
      <alignment horizontal="right" vertical="center"/>
      <protection locked="0"/>
    </xf>
    <xf numFmtId="0" fontId="1" fillId="0" borderId="21" xfId="0" applyFont="1" applyBorder="1" applyAlignment="1" applyProtection="1">
      <alignment horizontal="right" vertical="center"/>
      <protection locked="0"/>
    </xf>
    <xf numFmtId="0" fontId="1" fillId="0" borderId="25" xfId="0" applyFont="1" applyBorder="1" applyAlignment="1" applyProtection="1">
      <alignment horizontal="right" vertical="center"/>
      <protection locked="0"/>
    </xf>
    <xf numFmtId="0" fontId="1" fillId="0" borderId="26" xfId="0" applyFont="1" applyBorder="1" applyAlignment="1" applyProtection="1">
      <alignment horizontal="right" vertical="center"/>
      <protection locked="0"/>
    </xf>
    <xf numFmtId="0" fontId="1" fillId="0" borderId="27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65" xfId="0" applyFont="1" applyBorder="1" applyAlignment="1" applyProtection="1">
      <alignment horizontal="right" vertical="center"/>
      <protection locked="0"/>
    </xf>
    <xf numFmtId="0" fontId="0" fillId="0" borderId="65" xfId="0" applyBorder="1" applyAlignment="1" applyProtection="1">
      <alignment horizontal="right" vertical="center"/>
      <protection locked="0"/>
    </xf>
    <xf numFmtId="0" fontId="6" fillId="0" borderId="65" xfId="0" applyFont="1" applyBorder="1" applyProtection="1"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7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2" fillId="5" borderId="11" xfId="0" applyFont="1" applyFill="1" applyBorder="1" applyAlignment="1" applyProtection="1">
      <alignment horizontal="center"/>
      <protection locked="0"/>
    </xf>
    <xf numFmtId="0" fontId="2" fillId="5" borderId="65" xfId="0" applyFont="1" applyFill="1" applyBorder="1" applyAlignment="1" applyProtection="1">
      <alignment horizontal="center"/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2" fillId="5" borderId="11" xfId="0" applyFont="1" applyFill="1" applyBorder="1" applyAlignment="1" applyProtection="1">
      <alignment horizontal="right"/>
      <protection locked="0"/>
    </xf>
    <xf numFmtId="0" fontId="2" fillId="5" borderId="65" xfId="0" applyFont="1" applyFill="1" applyBorder="1" applyAlignment="1" applyProtection="1">
      <alignment horizontal="right"/>
      <protection locked="0"/>
    </xf>
    <xf numFmtId="0" fontId="2" fillId="5" borderId="12" xfId="0" applyFont="1" applyFill="1" applyBorder="1" applyAlignment="1" applyProtection="1">
      <alignment horizontal="right"/>
      <protection locked="0"/>
    </xf>
    <xf numFmtId="0" fontId="2" fillId="5" borderId="11" xfId="0" applyFont="1" applyFill="1" applyBorder="1" applyAlignment="1" applyProtection="1">
      <alignment horizontal="right" wrapText="1"/>
      <protection locked="0"/>
    </xf>
    <xf numFmtId="0" fontId="2" fillId="5" borderId="65" xfId="0" applyFont="1" applyFill="1" applyBorder="1" applyAlignment="1" applyProtection="1">
      <alignment horizontal="right" wrapText="1"/>
      <protection locked="0"/>
    </xf>
    <xf numFmtId="0" fontId="2" fillId="5" borderId="12" xfId="0" applyFont="1" applyFill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2" fillId="4" borderId="35" xfId="2" applyNumberFormat="1" applyFont="1" applyFill="1" applyBorder="1" applyAlignment="1" applyProtection="1">
      <alignment horizontal="center" vertical="center"/>
      <protection locked="0"/>
    </xf>
    <xf numFmtId="164" fontId="2" fillId="4" borderId="71" xfId="2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Percent" xfId="2" builtinId="5"/>
    <cellStyle name="הערה" xfId="3" builtinId="1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1837</xdr:col>
      <xdr:colOff>600075</xdr:colOff>
      <xdr:row>0</xdr:row>
      <xdr:rowOff>0</xdr:rowOff>
    </xdr:from>
    <xdr:to>
      <xdr:col>1842</xdr:col>
      <xdr:colOff>304800</xdr:colOff>
      <xdr:row>12</xdr:row>
      <xdr:rowOff>19050</xdr:rowOff>
    </xdr:to>
    <xdr:sp macro="" textlink="">
      <xdr:nvSpPr>
        <xdr:cNvPr id="6" name="Line Callout 2 1">
          <a:extLst>
            <a:ext uri="{FF2B5EF4-FFF2-40B4-BE49-F238E27FC236}">
              <a16:creationId xmlns:a16="http://schemas.microsoft.com/office/drawing/2014/main" id="{992EFBF6-28B6-4A02-BCBD-36840B33467D}"/>
            </a:ext>
          </a:extLst>
        </xdr:cNvPr>
        <xdr:cNvSpPr/>
      </xdr:nvSpPr>
      <xdr:spPr>
        <a:xfrm>
          <a:off x="9973284600" y="85725"/>
          <a:ext cx="3133725" cy="3019425"/>
        </a:xfrm>
        <a:prstGeom prst="borderCallout2">
          <a:avLst>
            <a:gd name="adj1" fmla="val 46243"/>
            <a:gd name="adj2" fmla="val 100156"/>
            <a:gd name="adj3" fmla="val 54809"/>
            <a:gd name="adj4" fmla="val 180393"/>
            <a:gd name="adj5" fmla="val 75184"/>
            <a:gd name="adj6" fmla="val 191053"/>
          </a:avLst>
        </a:prstGeom>
        <a:solidFill>
          <a:srgbClr val="FFFF00"/>
        </a:solidFill>
        <a:ln w="50800" cmpd="dbl">
          <a:gradFill>
            <a:gsLst>
              <a:gs pos="0">
                <a:srgbClr val="000082"/>
              </a:gs>
              <a:gs pos="13000">
                <a:srgbClr val="0047FF"/>
              </a:gs>
              <a:gs pos="28000">
                <a:srgbClr val="000082"/>
              </a:gs>
              <a:gs pos="42999">
                <a:srgbClr val="0047FF"/>
              </a:gs>
              <a:gs pos="58000">
                <a:srgbClr val="000082"/>
              </a:gs>
              <a:gs pos="72000">
                <a:srgbClr val="0047FF"/>
              </a:gs>
              <a:gs pos="87000">
                <a:srgbClr val="000082"/>
              </a:gs>
              <a:gs pos="100000">
                <a:srgbClr val="0047FF"/>
              </a:gs>
            </a:gsLst>
            <a:lin ang="5400000" scaled="0"/>
          </a:gra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he-IL" sz="1100" b="1" u="sng">
              <a:solidFill>
                <a:srgbClr val="002060"/>
              </a:solidFill>
            </a:rPr>
            <a:t>לדוגמא: נוסחה</a:t>
          </a:r>
          <a:r>
            <a:rPr lang="he-IL" sz="1100" b="1" u="sng" baseline="0">
              <a:solidFill>
                <a:srgbClr val="002060"/>
              </a:solidFill>
            </a:rPr>
            <a:t> לחישוב מחיר דירה לפי מכרז מחיר למשתכן</a:t>
          </a:r>
          <a:r>
            <a:rPr lang="he-IL" sz="1100" b="1" u="sng">
              <a:solidFill>
                <a:srgbClr val="002060"/>
              </a:solidFill>
            </a:rPr>
            <a:t>:</a:t>
          </a:r>
        </a:p>
        <a:p>
          <a:pPr algn="ctr" rtl="1"/>
          <a:endParaRPr lang="he-IL" sz="1100" b="1" u="sng">
            <a:solidFill>
              <a:srgbClr val="002060"/>
            </a:solidFill>
          </a:endParaRPr>
        </a:p>
        <a:p>
          <a:pPr algn="ctr" rtl="1"/>
          <a:r>
            <a:rPr lang="he-IL" sz="1100">
              <a:solidFill>
                <a:schemeClr val="tx1"/>
              </a:solidFill>
            </a:rPr>
            <a:t>שטח דירה במטרים - מוכפל במחיר למטר כולל מע"מ בש"ח +</a:t>
          </a:r>
        </a:p>
        <a:p>
          <a:pPr algn="ctr" rtl="1"/>
          <a:r>
            <a:rPr lang="he-IL" sz="1100">
              <a:solidFill>
                <a:schemeClr val="tx1"/>
              </a:solidFill>
            </a:rPr>
            <a:t>שטח מרפסת שמש ו/או שטח גינה - </a:t>
          </a:r>
          <a:r>
            <a:rPr lang="he-IL" sz="1100" baseline="0">
              <a:solidFill>
                <a:schemeClr val="tx1"/>
              </a:solidFill>
            </a:rPr>
            <a:t>מוכפל ב- </a:t>
          </a:r>
          <a:r>
            <a:rPr lang="en-US" sz="1100" baseline="0">
              <a:solidFill>
                <a:schemeClr val="tx1"/>
              </a:solidFill>
            </a:rPr>
            <a:t>X</a:t>
          </a:r>
          <a:r>
            <a:rPr lang="he-IL" sz="1100" baseline="0">
              <a:solidFill>
                <a:schemeClr val="tx1"/>
              </a:solidFill>
            </a:rPr>
            <a:t>% מחיר למטר </a:t>
          </a:r>
          <a:r>
            <a:rPr lang="he-I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כולל מע"מ בש"ח </a:t>
          </a:r>
          <a:r>
            <a:rPr lang="he-IL" sz="1100" baseline="0">
              <a:solidFill>
                <a:schemeClr val="tx1"/>
              </a:solidFill>
            </a:rPr>
            <a:t> + </a:t>
          </a:r>
        </a:p>
        <a:p>
          <a:pPr algn="ctr" rtl="1"/>
          <a:r>
            <a:rPr lang="he-IL" sz="1100" baseline="0">
              <a:solidFill>
                <a:schemeClr val="tx1"/>
              </a:solidFill>
            </a:rPr>
            <a:t>שטח מחסן - מוכפל ב- </a:t>
          </a:r>
          <a:r>
            <a:rPr lang="en-US" sz="1100" baseline="0">
              <a:solidFill>
                <a:schemeClr val="tx1"/>
              </a:solidFill>
            </a:rPr>
            <a:t>X</a:t>
          </a:r>
          <a:r>
            <a:rPr lang="he-IL" sz="1100" baseline="0">
              <a:solidFill>
                <a:schemeClr val="tx1"/>
              </a:solidFill>
            </a:rPr>
            <a:t>% מחיר למטר </a:t>
          </a:r>
          <a:r>
            <a:rPr lang="he-I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כולל מע"מ בש"ח </a:t>
          </a:r>
          <a:r>
            <a:rPr lang="he-IL" sz="1100" baseline="0">
              <a:solidFill>
                <a:schemeClr val="tx1"/>
              </a:solidFill>
            </a:rPr>
            <a:t>+</a:t>
          </a:r>
        </a:p>
        <a:p>
          <a:pPr algn="ctr" rtl="1"/>
          <a:r>
            <a:rPr lang="he-IL" sz="1100" baseline="0">
              <a:solidFill>
                <a:schemeClr val="tx1"/>
              </a:solidFill>
            </a:rPr>
            <a:t>מספר חניות - מוכפל ב- </a:t>
          </a:r>
          <a:r>
            <a:rPr lang="en-US" sz="1100" baseline="0">
              <a:solidFill>
                <a:schemeClr val="tx1"/>
              </a:solidFill>
            </a:rPr>
            <a:t>X</a:t>
          </a:r>
          <a:r>
            <a:rPr lang="he-IL" sz="1100" baseline="0">
              <a:solidFill>
                <a:schemeClr val="tx1"/>
              </a:solidFill>
            </a:rPr>
            <a:t>%  מחיר למטר </a:t>
          </a:r>
          <a:r>
            <a:rPr lang="he-I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כולל מע"מ בש"ח 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1"/>
          <a:endParaRPr lang="en-US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1"/>
          <a:r>
            <a:rPr lang="he-I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האחוזים יכולים להיות שונים ממכרז למכרז וכמו כן גם שינויים נוספים בתמחורי הדירות כגון מקדמי קומות וכדומה. באחריות הקבלן להוסיף נוסחא לחישוב מחיר הדירה!!!</a:t>
          </a:r>
          <a:endParaRPr lang="he-IL" sz="11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1</xdr:row>
      <xdr:rowOff>19049</xdr:rowOff>
    </xdr:from>
    <xdr:to>
      <xdr:col>17</xdr:col>
      <xdr:colOff>371475</xdr:colOff>
      <xdr:row>6</xdr:row>
      <xdr:rowOff>38100</xdr:rowOff>
    </xdr:to>
    <xdr:sp macro="" textlink="">
      <xdr:nvSpPr>
        <xdr:cNvPr id="2" name="Line Callout 2 1">
          <a:extLst>
            <a:ext uri="{FF2B5EF4-FFF2-40B4-BE49-F238E27FC236}">
              <a16:creationId xmlns:a16="http://schemas.microsoft.com/office/drawing/2014/main" id="{EF3D680C-C16C-4B16-A6A5-D806EB6000E8}"/>
            </a:ext>
          </a:extLst>
        </xdr:cNvPr>
        <xdr:cNvSpPr/>
      </xdr:nvSpPr>
      <xdr:spPr>
        <a:xfrm>
          <a:off x="11224117125" y="200024"/>
          <a:ext cx="3076575" cy="971551"/>
        </a:xfrm>
        <a:prstGeom prst="borderCallout2">
          <a:avLst>
            <a:gd name="adj1" fmla="val 46243"/>
            <a:gd name="adj2" fmla="val 100156"/>
            <a:gd name="adj3" fmla="val -896"/>
            <a:gd name="adj4" fmla="val 183127"/>
            <a:gd name="adj5" fmla="val 112850"/>
            <a:gd name="adj6" fmla="val 257881"/>
          </a:avLst>
        </a:prstGeom>
        <a:solidFill>
          <a:srgbClr val="FFFF00"/>
        </a:solidFill>
        <a:ln w="50800" cmpd="dbl">
          <a:gradFill>
            <a:gsLst>
              <a:gs pos="0">
                <a:srgbClr val="000082"/>
              </a:gs>
              <a:gs pos="13000">
                <a:srgbClr val="0047FF"/>
              </a:gs>
              <a:gs pos="28000">
                <a:srgbClr val="000082"/>
              </a:gs>
              <a:gs pos="42999">
                <a:srgbClr val="0047FF"/>
              </a:gs>
              <a:gs pos="58000">
                <a:srgbClr val="000082"/>
              </a:gs>
              <a:gs pos="72000">
                <a:srgbClr val="0047FF"/>
              </a:gs>
              <a:gs pos="87000">
                <a:srgbClr val="000082"/>
              </a:gs>
              <a:gs pos="100000">
                <a:srgbClr val="0047FF"/>
              </a:gs>
            </a:gsLst>
            <a:lin ang="5400000" scaled="0"/>
          </a:gra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400">
              <a:solidFill>
                <a:schemeClr val="tx1"/>
              </a:solidFill>
            </a:rPr>
            <a:t>יש למלא את יח"ד משתכן ויח"ד</a:t>
          </a:r>
          <a:r>
            <a:rPr lang="he-IL" sz="1400" baseline="0">
              <a:solidFill>
                <a:schemeClr val="tx1"/>
              </a:solidFill>
            </a:rPr>
            <a:t> שוק חופשי בכל בניין.(למלא רק את העמודות בצהוב</a:t>
          </a:r>
        </a:p>
        <a:p>
          <a:pPr algn="r" rtl="1"/>
          <a:endParaRPr lang="he-IL" sz="14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0</xdr:colOff>
      <xdr:row>15</xdr:row>
      <xdr:rowOff>152399</xdr:rowOff>
    </xdr:from>
    <xdr:to>
      <xdr:col>16</xdr:col>
      <xdr:colOff>333375</xdr:colOff>
      <xdr:row>21</xdr:row>
      <xdr:rowOff>9525</xdr:rowOff>
    </xdr:to>
    <xdr:sp macro="" textlink="">
      <xdr:nvSpPr>
        <xdr:cNvPr id="3" name="Line Callout 2 1">
          <a:extLst>
            <a:ext uri="{FF2B5EF4-FFF2-40B4-BE49-F238E27FC236}">
              <a16:creationId xmlns:a16="http://schemas.microsoft.com/office/drawing/2014/main" id="{9BEEDAC7-E322-4877-86E6-A8675019D4C6}"/>
            </a:ext>
          </a:extLst>
        </xdr:cNvPr>
        <xdr:cNvSpPr/>
      </xdr:nvSpPr>
      <xdr:spPr>
        <a:xfrm>
          <a:off x="11224841025" y="3181349"/>
          <a:ext cx="3076575" cy="971551"/>
        </a:xfrm>
        <a:prstGeom prst="borderCallout2">
          <a:avLst>
            <a:gd name="adj1" fmla="val 46243"/>
            <a:gd name="adj2" fmla="val 100156"/>
            <a:gd name="adj3" fmla="val 43222"/>
            <a:gd name="adj4" fmla="val 183128"/>
            <a:gd name="adj5" fmla="val 64810"/>
            <a:gd name="adj6" fmla="val 255094"/>
          </a:avLst>
        </a:prstGeom>
        <a:solidFill>
          <a:srgbClr val="FF0000"/>
        </a:solidFill>
        <a:ln w="50800" cmpd="dbl">
          <a:gradFill>
            <a:gsLst>
              <a:gs pos="0">
                <a:srgbClr val="000082"/>
              </a:gs>
              <a:gs pos="13000">
                <a:srgbClr val="0047FF"/>
              </a:gs>
              <a:gs pos="28000">
                <a:srgbClr val="000082"/>
              </a:gs>
              <a:gs pos="42999">
                <a:srgbClr val="0047FF"/>
              </a:gs>
              <a:gs pos="58000">
                <a:srgbClr val="000082"/>
              </a:gs>
              <a:gs pos="72000">
                <a:srgbClr val="0047FF"/>
              </a:gs>
              <a:gs pos="87000">
                <a:srgbClr val="000082"/>
              </a:gs>
              <a:gs pos="100000">
                <a:srgbClr val="0047FF"/>
              </a:gs>
            </a:gsLst>
            <a:lin ang="5400000" scaled="0"/>
          </a:gra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he-IL" sz="1400" b="1">
              <a:solidFill>
                <a:schemeClr val="bg1"/>
              </a:solidFill>
            </a:rPr>
            <a:t>לא לשנות</a:t>
          </a:r>
          <a:r>
            <a:rPr lang="he-IL" sz="1400" b="1" baseline="0">
              <a:solidFill>
                <a:schemeClr val="bg1"/>
              </a:solidFill>
            </a:rPr>
            <a:t> את אחוז דירות בשוק החופשי . מחשב ע"פ נוסחה</a:t>
          </a:r>
        </a:p>
        <a:p>
          <a:pPr algn="ctr" rtl="1"/>
          <a:endParaRPr lang="he-IL" sz="14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1381125</xdr:colOff>
      <xdr:row>16</xdr:row>
      <xdr:rowOff>152400</xdr:rowOff>
    </xdr:from>
    <xdr:to>
      <xdr:col>8</xdr:col>
      <xdr:colOff>161925</xdr:colOff>
      <xdr:row>22</xdr:row>
      <xdr:rowOff>85725</xdr:rowOff>
    </xdr:to>
    <xdr:sp macro="" textlink="">
      <xdr:nvSpPr>
        <xdr:cNvPr id="4" name="אליפסה 3">
          <a:extLst>
            <a:ext uri="{FF2B5EF4-FFF2-40B4-BE49-F238E27FC236}">
              <a16:creationId xmlns:a16="http://schemas.microsoft.com/office/drawing/2014/main" id="{C12B8281-9A9E-441E-8BA8-F2D41A39C751}"/>
            </a:ext>
          </a:extLst>
        </xdr:cNvPr>
        <xdr:cNvSpPr/>
      </xdr:nvSpPr>
      <xdr:spPr>
        <a:xfrm>
          <a:off x="11232689625" y="3362325"/>
          <a:ext cx="1190625" cy="10477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ta1-my.sharepoint.com/personal/pniot_eta_org_il/Documents/KABLANIM/777_&#1512;&#1502;&#1514;%20&#1490;&#1503;_&#1512;&#1502;&#1497;_&#1513;&#1489;&#1497;&#1512;&#1493;_&#1492;&#1504;&#1491;&#1505;&#1492;_&#1489;&#1504;&#1497;&#1492;_&#1493;&#1492;&#1513;&#1511;&#1506;&#1493;&#1514;_&#1489;&#1506;&#1502;/&#1504;&#1514;&#1493;&#1504;&#1497;_&#1511;&#1489;&#1500;&#1503;_&#1512;&#1502;&#1514;%20&#1490;&#1503;_&#1512;&#1502;&#1497;_&#1513;&#1489;&#1497;&#1512;&#1493;_&#1492;&#1504;&#1491;&#1505;&#1492;_&#1489;&#1504;&#1497;&#1492;_&#1493;&#1492;&#1513;&#1511;&#1506;&#1493;&#1514;_&#1489;&#1506;&#1502;_777/&#1504;&#1514;&#1493;&#1504;&#1497;&#1501;%20&#1492;&#1504;&#1491;&#1505;&#1497;&#1497;&#1501;/&#1490;4/&#1490;4%20&#1505;&#1493;&#1508;&#1497;%20&#1493;&#1495;&#1514;&#1493;&#1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שימות"/>
      <sheetName val="סיכום שטחים לפי מגרשים"/>
      <sheetName val="סיכום מתחמים"/>
      <sheetName val="סיכום שטחים לרישוי"/>
      <sheetName val="טיפוסי דירות"/>
      <sheetName val="כמויות"/>
      <sheetName val="טיפוס A"/>
      <sheetName val="טיפוס B"/>
      <sheetName val="טיפוס C"/>
      <sheetName val="טיפוס C1"/>
      <sheetName val="גבהים"/>
      <sheetName val="חניונים"/>
      <sheetName val="שיוך מחסנים וחניות"/>
      <sheetName val="מחסנים"/>
      <sheetName val="מעברים"/>
      <sheetName val="מרפסות - גינות"/>
      <sheetName val="ג4 777"/>
      <sheetName val="ג4 102"/>
      <sheetName val="ג4 778"/>
      <sheetName val="רשימת יועצים"/>
      <sheetName val="מעכב רישוי זמין"/>
      <sheetName val="מהות הבקשות"/>
      <sheetName val="הקלות"/>
      <sheetName val="גליון פרמטרים והערות"/>
      <sheetName val="מעכב תכניות עבודה"/>
      <sheetName val="Sheet3"/>
      <sheetName val="חתך"/>
      <sheetName val="ג4 סופי וחתו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101-1</v>
          </cell>
        </row>
      </sheetData>
      <sheetData sheetId="13"/>
      <sheetData sheetId="14"/>
      <sheetData sheetId="15">
        <row r="1">
          <cell r="B1" t="str">
            <v>מרפסות _A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M187"/>
  <sheetViews>
    <sheetView rightToLeft="1" tabSelected="1" view="pageBreakPreview" topLeftCell="A12" zoomScaleNormal="100" zoomScaleSheetLayoutView="100" workbookViewId="0">
      <selection activeCell="J17" sqref="J17:J122"/>
    </sheetView>
  </sheetViews>
  <sheetFormatPr defaultColWidth="9" defaultRowHeight="14.25" x14ac:dyDescent="0.2"/>
  <cols>
    <col min="1" max="1" width="15.125" style="30" customWidth="1"/>
    <col min="2" max="2" width="6.375" style="30" hidden="1" customWidth="1"/>
    <col min="3" max="3" width="5.875" style="30" customWidth="1"/>
    <col min="4" max="4" width="8.125" style="30" bestFit="1" customWidth="1"/>
    <col min="5" max="5" width="5.25" style="30" customWidth="1"/>
    <col min="6" max="6" width="7.375" style="30" customWidth="1"/>
    <col min="7" max="7" width="7.75" style="30" customWidth="1"/>
    <col min="8" max="8" width="9" style="30" customWidth="1"/>
    <col min="9" max="10" width="6.375" style="30" customWidth="1"/>
    <col min="11" max="11" width="17.875" style="30" hidden="1" customWidth="1"/>
    <col min="12" max="12" width="12.375" style="30" customWidth="1"/>
    <col min="13" max="13" width="18" style="30" hidden="1" customWidth="1"/>
    <col min="14" max="16" width="17.875" style="30" hidden="1" customWidth="1"/>
    <col min="17" max="17" width="17.875" style="30" customWidth="1"/>
    <col min="18" max="18" width="18.125" style="30" customWidth="1"/>
    <col min="19" max="19" width="8.625" style="30" customWidth="1"/>
    <col min="20" max="20" width="9" style="30"/>
    <col min="21" max="21" width="12.75" style="30" hidden="1" customWidth="1"/>
    <col min="22" max="22" width="11.875" style="30" hidden="1" customWidth="1"/>
    <col min="23" max="23" width="7.25" style="30" hidden="1" customWidth="1"/>
    <col min="24" max="24" width="9" style="30" hidden="1" customWidth="1"/>
    <col min="25" max="25" width="15.875" style="30" hidden="1" customWidth="1"/>
    <col min="26" max="26" width="9" style="30" hidden="1" customWidth="1"/>
    <col min="27" max="27" width="15.875" style="30" hidden="1" customWidth="1"/>
    <col min="28" max="28" width="9" style="30" hidden="1" customWidth="1"/>
    <col min="29" max="30" width="10.875" style="30" hidden="1" customWidth="1"/>
    <col min="31" max="31" width="9" style="30" hidden="1" customWidth="1"/>
    <col min="32" max="16384" width="9" style="30"/>
  </cols>
  <sheetData>
    <row r="1" spans="1:39" ht="41.25" hidden="1" customHeight="1" thickBot="1" x14ac:dyDescent="0.2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9"/>
      <c r="U1" s="29"/>
      <c r="V1" s="29"/>
      <c r="W1" s="29"/>
      <c r="X1" s="29"/>
      <c r="Y1" s="29"/>
      <c r="Z1" s="29"/>
      <c r="AC1" s="31" t="s">
        <v>1</v>
      </c>
      <c r="AD1" s="32"/>
      <c r="AE1" s="31"/>
      <c r="AH1" s="25" t="s">
        <v>2</v>
      </c>
      <c r="AI1" s="26" t="s">
        <v>3</v>
      </c>
      <c r="AJ1" s="27" t="s">
        <v>4</v>
      </c>
      <c r="AK1" s="27" t="s">
        <v>5</v>
      </c>
      <c r="AL1" s="28" t="s">
        <v>6</v>
      </c>
      <c r="AM1" s="28" t="s">
        <v>7</v>
      </c>
    </row>
    <row r="2" spans="1:39" ht="18" hidden="1" x14ac:dyDescent="0.25">
      <c r="A2" s="33"/>
      <c r="B2" s="33"/>
      <c r="C2" s="34"/>
      <c r="D2" s="34"/>
      <c r="E2" s="34"/>
      <c r="F2" s="280" t="s">
        <v>8</v>
      </c>
      <c r="G2" s="280"/>
      <c r="H2" s="280"/>
      <c r="I2" s="280"/>
      <c r="J2" s="280"/>
      <c r="K2" s="280"/>
      <c r="L2" s="34"/>
      <c r="M2" s="34"/>
      <c r="U2" s="29"/>
      <c r="V2" s="29"/>
      <c r="W2" s="29"/>
      <c r="X2" s="29"/>
      <c r="Y2" s="29"/>
      <c r="Z2" s="29"/>
      <c r="AC2" s="39" t="s">
        <v>9</v>
      </c>
      <c r="AD2" s="39" t="s">
        <v>10</v>
      </c>
      <c r="AE2" s="39"/>
      <c r="AH2" s="35">
        <v>3</v>
      </c>
      <c r="AI2" s="36">
        <v>43</v>
      </c>
      <c r="AJ2" s="36">
        <f>AI2-AK2</f>
        <v>15</v>
      </c>
      <c r="AK2" s="37">
        <v>28</v>
      </c>
      <c r="AL2" s="38">
        <f>AK2/AI2</f>
        <v>0.65116279069767447</v>
      </c>
      <c r="AM2" s="294">
        <f>(AK2+AK3)/(AI2+AI3)</f>
        <v>0.63888888888888884</v>
      </c>
    </row>
    <row r="3" spans="1:39" ht="18.75" hidden="1" thickBot="1" x14ac:dyDescent="0.3">
      <c r="A3" s="33"/>
      <c r="B3" s="33"/>
      <c r="C3" s="34"/>
      <c r="D3" s="34"/>
      <c r="E3" s="281" t="s">
        <v>11</v>
      </c>
      <c r="F3" s="281"/>
      <c r="G3" s="281"/>
      <c r="H3" s="281"/>
      <c r="I3" s="281"/>
      <c r="J3" s="281"/>
      <c r="K3" s="281"/>
      <c r="L3" s="34"/>
      <c r="M3" s="34"/>
      <c r="U3" s="29"/>
      <c r="V3" s="29"/>
      <c r="W3" s="29"/>
      <c r="X3" s="29"/>
      <c r="Y3" s="29"/>
      <c r="Z3" s="29"/>
      <c r="AC3" s="42">
        <v>2.5</v>
      </c>
      <c r="AD3" s="39">
        <v>76</v>
      </c>
      <c r="AE3" s="42"/>
      <c r="AH3" s="35">
        <v>4</v>
      </c>
      <c r="AI3" s="36">
        <v>29</v>
      </c>
      <c r="AJ3" s="36">
        <f>AI3-AK3</f>
        <v>11</v>
      </c>
      <c r="AK3" s="40">
        <v>18</v>
      </c>
      <c r="AL3" s="41">
        <f t="shared" ref="AL3" si="0">AK3/AI3</f>
        <v>0.62068965517241381</v>
      </c>
      <c r="AM3" s="295"/>
    </row>
    <row r="4" spans="1:39" ht="15.75" hidden="1" thickBot="1" x14ac:dyDescent="0.3">
      <c r="A4" s="43" t="s">
        <v>12</v>
      </c>
      <c r="B4" s="283" t="s">
        <v>13</v>
      </c>
      <c r="C4" s="284"/>
      <c r="D4" s="285"/>
      <c r="E4" s="44"/>
      <c r="F4" s="44"/>
      <c r="G4" s="292"/>
      <c r="H4" s="292"/>
      <c r="I4" s="292"/>
      <c r="J4" s="292"/>
      <c r="K4" s="292"/>
      <c r="L4" s="292"/>
      <c r="M4" s="293"/>
      <c r="U4" s="29"/>
      <c r="V4" s="29"/>
      <c r="W4" s="29"/>
      <c r="X4" s="29"/>
      <c r="Y4" s="29"/>
      <c r="Z4" s="29"/>
      <c r="AC4" s="42">
        <v>3</v>
      </c>
      <c r="AD4" s="39">
        <v>90</v>
      </c>
      <c r="AE4" s="42"/>
      <c r="AH4" s="35">
        <v>5</v>
      </c>
      <c r="AI4" s="36">
        <v>81</v>
      </c>
      <c r="AJ4" s="36">
        <f t="shared" ref="AJ4" si="1">AI4-AK4</f>
        <v>50</v>
      </c>
      <c r="AK4" s="37">
        <v>31</v>
      </c>
      <c r="AL4" s="45">
        <f>AK4/AI4</f>
        <v>0.38271604938271603</v>
      </c>
      <c r="AM4" s="294">
        <f>(AK4+AK5)/(AI4+AI5)</f>
        <v>0.37804878048780488</v>
      </c>
    </row>
    <row r="5" spans="1:39" ht="18" hidden="1" customHeight="1" thickBot="1" x14ac:dyDescent="0.3">
      <c r="A5" s="43" t="s">
        <v>14</v>
      </c>
      <c r="B5" s="286" t="s">
        <v>15</v>
      </c>
      <c r="C5" s="287"/>
      <c r="D5" s="288"/>
      <c r="F5" s="46"/>
      <c r="G5" s="282"/>
      <c r="H5" s="282"/>
      <c r="I5" s="282"/>
      <c r="J5" s="282"/>
      <c r="K5" s="282"/>
      <c r="U5" s="29"/>
      <c r="V5" s="29"/>
      <c r="W5" s="29"/>
      <c r="X5" s="29"/>
      <c r="Y5" s="29"/>
      <c r="Z5" s="29"/>
      <c r="AC5" s="42">
        <v>3.5</v>
      </c>
      <c r="AD5" s="39">
        <v>100</v>
      </c>
      <c r="AE5" s="42"/>
      <c r="AH5" s="47">
        <v>6</v>
      </c>
      <c r="AI5" s="48">
        <v>1</v>
      </c>
      <c r="AJ5" s="48">
        <v>1</v>
      </c>
      <c r="AK5" s="40">
        <v>0</v>
      </c>
      <c r="AL5" s="49">
        <f>AK5/AI5</f>
        <v>0</v>
      </c>
      <c r="AM5" s="295"/>
    </row>
    <row r="6" spans="1:39" ht="15.75" hidden="1" thickBot="1" x14ac:dyDescent="0.3">
      <c r="A6" s="43" t="s">
        <v>16</v>
      </c>
      <c r="B6" s="289">
        <v>73327</v>
      </c>
      <c r="C6" s="290"/>
      <c r="D6" s="291"/>
      <c r="I6" s="43"/>
      <c r="U6" s="29"/>
      <c r="V6" s="29"/>
      <c r="W6" s="29"/>
      <c r="X6" s="29"/>
      <c r="Y6" s="29"/>
      <c r="Z6" s="29"/>
      <c r="AC6" s="42">
        <v>4</v>
      </c>
      <c r="AD6" s="39">
        <v>110</v>
      </c>
      <c r="AE6" s="42"/>
      <c r="AH6" s="50" t="s">
        <v>3</v>
      </c>
      <c r="AI6" s="51">
        <f>SUM(AI2:AI5)</f>
        <v>154</v>
      </c>
      <c r="AJ6" s="51">
        <f>SUBTOTAL(9,AJ2:AJ5)</f>
        <v>0</v>
      </c>
      <c r="AK6" s="52">
        <f>SUBTOTAL(9,AK2:AK5)</f>
        <v>0</v>
      </c>
      <c r="AL6" s="51"/>
      <c r="AM6" s="53"/>
    </row>
    <row r="7" spans="1:39" ht="15.75" hidden="1" thickBot="1" x14ac:dyDescent="0.3">
      <c r="A7" s="43" t="s">
        <v>16</v>
      </c>
      <c r="B7" s="289">
        <v>2295</v>
      </c>
      <c r="C7" s="290"/>
      <c r="D7" s="291"/>
      <c r="I7" s="43"/>
      <c r="N7" s="201"/>
      <c r="O7" s="201"/>
      <c r="P7" s="201"/>
      <c r="Q7" s="202"/>
      <c r="R7" s="201"/>
      <c r="S7" s="201"/>
      <c r="T7" s="201"/>
      <c r="U7" s="29"/>
      <c r="V7" s="29"/>
      <c r="W7" s="29"/>
      <c r="X7" s="29"/>
      <c r="Y7" s="29"/>
      <c r="Z7" s="29"/>
      <c r="AC7" s="42"/>
      <c r="AD7" s="39"/>
      <c r="AE7" s="42"/>
    </row>
    <row r="8" spans="1:39" ht="15.75" hidden="1" thickBot="1" x14ac:dyDescent="0.3">
      <c r="A8" s="43" t="s">
        <v>17</v>
      </c>
      <c r="B8" s="286">
        <v>154</v>
      </c>
      <c r="C8" s="287"/>
      <c r="D8" s="288"/>
      <c r="I8" s="43"/>
      <c r="W8" s="30" t="s">
        <v>18</v>
      </c>
      <c r="X8" s="30">
        <v>120</v>
      </c>
      <c r="AC8" s="42">
        <v>4.5</v>
      </c>
      <c r="AD8" s="39">
        <v>120</v>
      </c>
      <c r="AE8" s="42"/>
    </row>
    <row r="9" spans="1:39" ht="15.75" hidden="1" thickBot="1" x14ac:dyDescent="0.3">
      <c r="A9" s="43" t="s">
        <v>19</v>
      </c>
      <c r="B9" s="43"/>
      <c r="D9" s="54">
        <v>77</v>
      </c>
      <c r="F9" s="55"/>
      <c r="I9" s="260" t="s">
        <v>20</v>
      </c>
      <c r="J9" s="260"/>
      <c r="K9" s="260"/>
      <c r="L9" s="260"/>
      <c r="M9" s="260"/>
      <c r="N9" s="261"/>
      <c r="O9" s="57">
        <f>14972*1.18</f>
        <v>17666.96</v>
      </c>
      <c r="P9" s="56"/>
      <c r="Q9" s="57">
        <f>14972*1.18</f>
        <v>17666.96</v>
      </c>
      <c r="R9" s="56"/>
      <c r="S9" s="56"/>
      <c r="AC9" s="42">
        <v>5</v>
      </c>
      <c r="AD9" s="39">
        <v>125</v>
      </c>
      <c r="AE9" s="42"/>
    </row>
    <row r="10" spans="1:39" ht="18.75" hidden="1" customHeight="1" thickBot="1" x14ac:dyDescent="0.3">
      <c r="A10" s="43" t="s">
        <v>21</v>
      </c>
      <c r="B10" s="43"/>
      <c r="D10" s="58">
        <f>D9/B8</f>
        <v>0.5</v>
      </c>
      <c r="F10" s="55"/>
      <c r="I10" s="43"/>
      <c r="N10" s="59">
        <v>300000</v>
      </c>
      <c r="R10" s="60"/>
      <c r="S10" s="60"/>
      <c r="V10" s="30">
        <v>30</v>
      </c>
      <c r="X10" s="30">
        <v>60</v>
      </c>
      <c r="AC10" s="42">
        <v>5.5</v>
      </c>
      <c r="AD10" s="39">
        <v>135</v>
      </c>
      <c r="AE10" s="42"/>
    </row>
    <row r="11" spans="1:39" ht="15" hidden="1" x14ac:dyDescent="0.25">
      <c r="A11" s="262"/>
      <c r="B11" s="262"/>
      <c r="C11" s="262"/>
      <c r="D11" s="61"/>
      <c r="E11" s="55"/>
      <c r="I11" s="43">
        <v>0.4</v>
      </c>
      <c r="J11" s="30">
        <v>2</v>
      </c>
      <c r="N11" s="62">
        <v>0.8</v>
      </c>
      <c r="O11" s="30">
        <v>1.034</v>
      </c>
      <c r="Q11" s="59">
        <v>500000</v>
      </c>
      <c r="R11" s="60"/>
      <c r="S11" s="60"/>
      <c r="V11" s="30">
        <v>0.3</v>
      </c>
      <c r="W11" s="30">
        <v>0.2</v>
      </c>
      <c r="X11" s="30">
        <v>0.1</v>
      </c>
      <c r="AC11" s="42">
        <v>6</v>
      </c>
      <c r="AD11" s="39">
        <v>145</v>
      </c>
      <c r="AE11" s="42"/>
    </row>
    <row r="12" spans="1:39" s="29" customFormat="1" ht="75" x14ac:dyDescent="0.2">
      <c r="A12" s="63" t="s">
        <v>22</v>
      </c>
      <c r="B12" s="63" t="s">
        <v>23</v>
      </c>
      <c r="C12" s="63" t="s">
        <v>24</v>
      </c>
      <c r="D12" s="63" t="s">
        <v>25</v>
      </c>
      <c r="E12" s="63" t="s">
        <v>26</v>
      </c>
      <c r="F12" s="63" t="s">
        <v>27</v>
      </c>
      <c r="G12" s="63" t="s">
        <v>28</v>
      </c>
      <c r="H12" s="63" t="s">
        <v>29</v>
      </c>
      <c r="I12" s="63" t="s">
        <v>30</v>
      </c>
      <c r="J12" s="63" t="s">
        <v>31</v>
      </c>
      <c r="K12" s="63" t="s">
        <v>32</v>
      </c>
      <c r="L12" s="63" t="s">
        <v>33</v>
      </c>
      <c r="M12" s="63" t="s">
        <v>34</v>
      </c>
      <c r="N12" s="63" t="s">
        <v>35</v>
      </c>
      <c r="O12" s="63" t="s">
        <v>36</v>
      </c>
      <c r="P12" s="63" t="s">
        <v>37</v>
      </c>
      <c r="Q12" s="63" t="s">
        <v>38</v>
      </c>
      <c r="R12" s="63" t="s">
        <v>133</v>
      </c>
      <c r="S12" s="206" t="s">
        <v>100</v>
      </c>
      <c r="T12" s="63" t="s">
        <v>40</v>
      </c>
      <c r="U12" s="29" t="s">
        <v>41</v>
      </c>
      <c r="V12" s="29" t="s">
        <v>42</v>
      </c>
      <c r="W12" s="29" t="s">
        <v>43</v>
      </c>
      <c r="Y12" s="29" t="s">
        <v>44</v>
      </c>
      <c r="AB12" s="29" t="s">
        <v>45</v>
      </c>
      <c r="AC12" s="29" t="s">
        <v>46</v>
      </c>
    </row>
    <row r="13" spans="1:39" ht="14.25" hidden="1" customHeight="1" x14ac:dyDescent="0.2">
      <c r="A13" s="64" t="s">
        <v>47</v>
      </c>
      <c r="B13" s="65">
        <v>100</v>
      </c>
      <c r="C13" s="66">
        <v>1</v>
      </c>
      <c r="D13" s="67" t="s">
        <v>48</v>
      </c>
      <c r="E13" s="68" t="s">
        <v>49</v>
      </c>
      <c r="F13" s="68">
        <v>3</v>
      </c>
      <c r="G13" s="69">
        <v>80.540000000000006</v>
      </c>
      <c r="H13" s="70">
        <v>38.22</v>
      </c>
      <c r="I13" s="71">
        <v>6.49</v>
      </c>
      <c r="J13" s="71">
        <v>2</v>
      </c>
      <c r="K13" s="72"/>
      <c r="L13" s="65" t="s">
        <v>50</v>
      </c>
      <c r="M13" s="73"/>
      <c r="N13" s="74"/>
      <c r="O13" s="74"/>
      <c r="P13" s="75"/>
      <c r="Q13" s="75"/>
      <c r="R13" s="257" t="s">
        <v>123</v>
      </c>
      <c r="S13" s="208" t="s">
        <v>120</v>
      </c>
      <c r="T13" s="76">
        <v>38</v>
      </c>
      <c r="V13" s="30">
        <f t="shared" ref="V13:V44" si="2">IF(H13&gt;$V$10,$V$10*$V$11,H13*$V$11)</f>
        <v>9</v>
      </c>
      <c r="W13" s="30">
        <f>IF(H13&gt;$V$10,(H13-$V$10)*$W$11,0)</f>
        <v>1.6439999999999999</v>
      </c>
      <c r="X13" s="30">
        <f t="shared" ref="X13:X44" si="3">IF(AND(H13&gt;$X$10,H13&lt;$X$8),(H13-$X$10)*$X$11,IF(H13&gt;$X$8,($X$8-$X$10)*$X$11,0))</f>
        <v>0</v>
      </c>
      <c r="Y13" s="30">
        <f>W13+V13+G13+I13*$I$11+J13*$J$11</f>
        <v>97.780000000000015</v>
      </c>
      <c r="Z13" s="30">
        <f t="shared" ref="Z13:Z27" si="4">VLOOKUP(F13,$AC$3:$AD$11,2,FALSE)</f>
        <v>90</v>
      </c>
      <c r="AA13" s="30">
        <f t="shared" ref="AA13:AA27" si="5">IF(G13&gt;Z13,(G13-Z13)*0.15,0)</f>
        <v>0</v>
      </c>
      <c r="AB13" s="30">
        <f>Y13-AA13</f>
        <v>97.780000000000015</v>
      </c>
    </row>
    <row r="14" spans="1:39" s="88" customFormat="1" ht="15" hidden="1" customHeight="1" thickBot="1" x14ac:dyDescent="0.25">
      <c r="A14" s="77" t="s">
        <v>47</v>
      </c>
      <c r="B14" s="78">
        <v>100</v>
      </c>
      <c r="C14" s="79">
        <v>2</v>
      </c>
      <c r="D14" s="80" t="s">
        <v>51</v>
      </c>
      <c r="E14" s="81" t="s">
        <v>49</v>
      </c>
      <c r="F14" s="81">
        <v>5</v>
      </c>
      <c r="G14" s="82">
        <v>125.57</v>
      </c>
      <c r="H14" s="83">
        <v>191.58</v>
      </c>
      <c r="I14" s="71">
        <v>6.49</v>
      </c>
      <c r="J14" s="71">
        <v>2</v>
      </c>
      <c r="K14" s="72"/>
      <c r="L14" s="78" t="s">
        <v>50</v>
      </c>
      <c r="M14" s="84"/>
      <c r="N14" s="74"/>
      <c r="O14" s="74"/>
      <c r="P14" s="75"/>
      <c r="Q14" s="75"/>
      <c r="R14" s="258" t="s">
        <v>124</v>
      </c>
      <c r="S14" s="208">
        <v>108109</v>
      </c>
      <c r="T14" s="85">
        <v>39</v>
      </c>
      <c r="U14" s="86">
        <f>P14-500000</f>
        <v>-500000</v>
      </c>
      <c r="V14" s="30">
        <f t="shared" si="2"/>
        <v>9</v>
      </c>
      <c r="W14" s="87">
        <v>6</v>
      </c>
      <c r="X14" s="30">
        <f t="shared" si="3"/>
        <v>6</v>
      </c>
      <c r="Y14" s="30">
        <f>W14+V14+G14+X14+I14*$I$11+J14*$J$11</f>
        <v>153.166</v>
      </c>
      <c r="Z14" s="30">
        <f t="shared" si="4"/>
        <v>125</v>
      </c>
      <c r="AA14" s="30">
        <f t="shared" si="5"/>
        <v>8.549999999999898E-2</v>
      </c>
      <c r="AB14" s="30">
        <f>Y14-AA14</f>
        <v>153.0805</v>
      </c>
    </row>
    <row r="15" spans="1:39" s="88" customFormat="1" ht="14.25" hidden="1" customHeight="1" x14ac:dyDescent="0.2">
      <c r="A15" s="89" t="s">
        <v>47</v>
      </c>
      <c r="B15" s="78">
        <v>100</v>
      </c>
      <c r="C15" s="90">
        <v>3</v>
      </c>
      <c r="D15" s="91" t="s">
        <v>52</v>
      </c>
      <c r="E15" s="92">
        <v>1</v>
      </c>
      <c r="F15" s="92">
        <v>3</v>
      </c>
      <c r="G15" s="93">
        <v>80.459999999999994</v>
      </c>
      <c r="H15" s="94">
        <v>20.65</v>
      </c>
      <c r="I15" s="71">
        <v>6.35</v>
      </c>
      <c r="J15" s="71">
        <v>2</v>
      </c>
      <c r="K15" s="72"/>
      <c r="L15" s="78" t="s">
        <v>50</v>
      </c>
      <c r="M15" s="84"/>
      <c r="N15" s="74"/>
      <c r="O15" s="74"/>
      <c r="P15" s="75"/>
      <c r="Q15" s="75"/>
      <c r="R15" s="257" t="s">
        <v>123</v>
      </c>
      <c r="S15" s="208">
        <v>201202</v>
      </c>
      <c r="T15" s="85">
        <v>131</v>
      </c>
      <c r="V15" s="30">
        <f t="shared" si="2"/>
        <v>6.1949999999999994</v>
      </c>
      <c r="W15" s="30">
        <f t="shared" ref="W15:W26" si="6">IF(H15&gt;$V$10,(H15-$V$10)*$W$11,0)</f>
        <v>0</v>
      </c>
      <c r="X15" s="30">
        <f t="shared" si="3"/>
        <v>0</v>
      </c>
      <c r="Y15" s="30">
        <f t="shared" ref="Y15:Y26" si="7">W15+V15+G15+I15*$I$11+J15*$J$11</f>
        <v>93.194999999999993</v>
      </c>
      <c r="Z15" s="30">
        <f t="shared" si="4"/>
        <v>90</v>
      </c>
      <c r="AA15" s="30">
        <f t="shared" si="5"/>
        <v>0</v>
      </c>
      <c r="AB15" s="30">
        <f>Y15-AA15</f>
        <v>93.194999999999993</v>
      </c>
      <c r="AC15" s="95">
        <f t="shared" ref="AC15:AC21" si="8">AB15*$O$9</f>
        <v>1646472.3371999997</v>
      </c>
      <c r="AD15" s="86">
        <f t="shared" ref="AD15:AD21" si="9">AC15-K15</f>
        <v>1646472.3371999997</v>
      </c>
    </row>
    <row r="16" spans="1:39" s="88" customFormat="1" ht="15" hidden="1" customHeight="1" thickBot="1" x14ac:dyDescent="0.25">
      <c r="A16" s="77" t="s">
        <v>47</v>
      </c>
      <c r="B16" s="78">
        <v>100</v>
      </c>
      <c r="C16" s="79">
        <v>4</v>
      </c>
      <c r="D16" s="80" t="s">
        <v>53</v>
      </c>
      <c r="E16" s="81">
        <v>1</v>
      </c>
      <c r="F16" s="81">
        <v>5</v>
      </c>
      <c r="G16" s="82">
        <v>125.35</v>
      </c>
      <c r="H16" s="83">
        <v>26.56</v>
      </c>
      <c r="I16" s="71">
        <v>6.35</v>
      </c>
      <c r="J16" s="71">
        <v>2</v>
      </c>
      <c r="K16" s="72"/>
      <c r="L16" s="78" t="s">
        <v>50</v>
      </c>
      <c r="M16" s="84"/>
      <c r="N16" s="74"/>
      <c r="O16" s="74"/>
      <c r="P16" s="75"/>
      <c r="Q16" s="75"/>
      <c r="R16" s="259" t="s">
        <v>124</v>
      </c>
      <c r="S16" s="208">
        <v>203204</v>
      </c>
      <c r="T16" s="85">
        <v>132</v>
      </c>
      <c r="U16" s="86"/>
      <c r="V16" s="30">
        <f t="shared" si="2"/>
        <v>7.9679999999999991</v>
      </c>
      <c r="W16" s="30">
        <f t="shared" si="6"/>
        <v>0</v>
      </c>
      <c r="X16" s="30">
        <f t="shared" si="3"/>
        <v>0</v>
      </c>
      <c r="Y16" s="30">
        <f t="shared" si="7"/>
        <v>139.85799999999998</v>
      </c>
      <c r="Z16" s="30">
        <f t="shared" si="4"/>
        <v>125</v>
      </c>
      <c r="AA16" s="30">
        <f t="shared" si="5"/>
        <v>5.2499999999999145E-2</v>
      </c>
      <c r="AB16" s="30">
        <f t="shared" ref="AB16:AB78" si="10">Y16-AA16</f>
        <v>139.80549999999997</v>
      </c>
      <c r="AC16" s="95">
        <f t="shared" si="8"/>
        <v>2469938.1762799993</v>
      </c>
      <c r="AD16" s="86">
        <f t="shared" si="9"/>
        <v>2469938.1762799993</v>
      </c>
      <c r="AE16" s="96"/>
    </row>
    <row r="17" spans="1:39" s="88" customFormat="1" ht="14.25" customHeight="1" x14ac:dyDescent="0.2">
      <c r="A17" s="161" t="s">
        <v>47</v>
      </c>
      <c r="B17" s="162">
        <v>100</v>
      </c>
      <c r="C17" s="163">
        <v>5</v>
      </c>
      <c r="D17" s="164" t="s">
        <v>52</v>
      </c>
      <c r="E17" s="165">
        <v>2</v>
      </c>
      <c r="F17" s="165">
        <v>3</v>
      </c>
      <c r="G17" s="166">
        <v>80.459999999999994</v>
      </c>
      <c r="H17" s="189">
        <v>10.07</v>
      </c>
      <c r="I17" s="200">
        <v>6.35</v>
      </c>
      <c r="J17" s="200">
        <v>2</v>
      </c>
      <c r="K17" s="72">
        <f t="shared" ref="K17:K25" si="11">AB17*$O$9</f>
        <v>1590397.40616</v>
      </c>
      <c r="L17" s="78" t="s">
        <v>54</v>
      </c>
      <c r="M17" s="84"/>
      <c r="N17" s="74">
        <f>IF(K17*$N$11&lt;(K17-$N$10),K17-$N$10,K17*$N$11)</f>
        <v>1290397.40616</v>
      </c>
      <c r="O17" s="74">
        <f>K17*$O$11</f>
        <v>1644470.9179694401</v>
      </c>
      <c r="P17" s="75">
        <f t="shared" ref="P17:P25" si="12">O17-N17</f>
        <v>354073.5118094401</v>
      </c>
      <c r="Q17" s="75">
        <f t="shared" ref="Q17:Q25" si="13">IF(P17&gt;$Q$11,(P17-$Q$11+N17),N17)</f>
        <v>1290397.40616</v>
      </c>
      <c r="R17" s="257" t="s">
        <v>123</v>
      </c>
      <c r="S17" s="208">
        <v>182183</v>
      </c>
      <c r="T17" s="85">
        <v>133</v>
      </c>
      <c r="V17" s="30">
        <f t="shared" si="2"/>
        <v>3.0209999999999999</v>
      </c>
      <c r="W17" s="30">
        <f t="shared" si="6"/>
        <v>0</v>
      </c>
      <c r="X17" s="30">
        <f t="shared" si="3"/>
        <v>0</v>
      </c>
      <c r="Y17" s="30">
        <f t="shared" si="7"/>
        <v>90.021000000000001</v>
      </c>
      <c r="Z17" s="30">
        <f t="shared" si="4"/>
        <v>90</v>
      </c>
      <c r="AA17" s="30">
        <f t="shared" si="5"/>
        <v>0</v>
      </c>
      <c r="AB17" s="30">
        <f t="shared" si="10"/>
        <v>90.021000000000001</v>
      </c>
      <c r="AC17" s="95">
        <f t="shared" si="8"/>
        <v>1590397.40616</v>
      </c>
      <c r="AD17" s="86">
        <f t="shared" si="9"/>
        <v>0</v>
      </c>
    </row>
    <row r="18" spans="1:39" s="88" customFormat="1" ht="15" hidden="1" thickBot="1" x14ac:dyDescent="0.25">
      <c r="A18" s="77" t="s">
        <v>47</v>
      </c>
      <c r="B18" s="78">
        <v>100</v>
      </c>
      <c r="C18" s="79">
        <v>6</v>
      </c>
      <c r="D18" s="80" t="s">
        <v>53</v>
      </c>
      <c r="E18" s="81">
        <v>2</v>
      </c>
      <c r="F18" s="81">
        <v>5</v>
      </c>
      <c r="G18" s="82">
        <v>125.35</v>
      </c>
      <c r="H18" s="83">
        <v>15.88</v>
      </c>
      <c r="I18" s="71">
        <v>6.35</v>
      </c>
      <c r="J18" s="71">
        <v>2</v>
      </c>
      <c r="K18" s="72"/>
      <c r="L18" s="78" t="s">
        <v>50</v>
      </c>
      <c r="M18" s="84"/>
      <c r="N18" s="74"/>
      <c r="O18" s="74"/>
      <c r="P18" s="75"/>
      <c r="Q18" s="75"/>
      <c r="R18" s="258" t="s">
        <v>124</v>
      </c>
      <c r="S18" s="208">
        <v>199200</v>
      </c>
      <c r="T18" s="85">
        <v>134</v>
      </c>
      <c r="U18" s="86"/>
      <c r="V18" s="30">
        <f t="shared" si="2"/>
        <v>4.7640000000000002</v>
      </c>
      <c r="W18" s="30">
        <f t="shared" si="6"/>
        <v>0</v>
      </c>
      <c r="X18" s="30">
        <f t="shared" si="3"/>
        <v>0</v>
      </c>
      <c r="Y18" s="30">
        <f t="shared" si="7"/>
        <v>136.654</v>
      </c>
      <c r="Z18" s="30">
        <f t="shared" si="4"/>
        <v>125</v>
      </c>
      <c r="AA18" s="30">
        <f t="shared" si="5"/>
        <v>5.2499999999999145E-2</v>
      </c>
      <c r="AB18" s="30">
        <f t="shared" si="10"/>
        <v>136.60149999999999</v>
      </c>
      <c r="AC18" s="95">
        <f t="shared" si="8"/>
        <v>2413333.2364399997</v>
      </c>
      <c r="AD18" s="86">
        <f t="shared" si="9"/>
        <v>2413333.2364399997</v>
      </c>
    </row>
    <row r="19" spans="1:39" s="88" customFormat="1" ht="14.25" customHeight="1" x14ac:dyDescent="0.2">
      <c r="A19" s="161" t="s">
        <v>47</v>
      </c>
      <c r="B19" s="162">
        <v>100</v>
      </c>
      <c r="C19" s="163">
        <v>7</v>
      </c>
      <c r="D19" s="164" t="s">
        <v>52</v>
      </c>
      <c r="E19" s="165">
        <v>3</v>
      </c>
      <c r="F19" s="165">
        <v>3</v>
      </c>
      <c r="G19" s="166">
        <v>80.459999999999994</v>
      </c>
      <c r="H19" s="189">
        <v>10.07</v>
      </c>
      <c r="I19" s="200">
        <v>6.35</v>
      </c>
      <c r="J19" s="200">
        <v>2</v>
      </c>
      <c r="K19" s="72">
        <f t="shared" si="11"/>
        <v>1590397.40616</v>
      </c>
      <c r="L19" s="78" t="s">
        <v>54</v>
      </c>
      <c r="M19" s="84"/>
      <c r="N19" s="74">
        <f>IF(K19*$N$11&lt;(K19-$N$10),K19-$N$10,K19*$N$11)</f>
        <v>1290397.40616</v>
      </c>
      <c r="O19" s="74">
        <f>K19*$O$11</f>
        <v>1644470.9179694401</v>
      </c>
      <c r="P19" s="75">
        <f t="shared" si="12"/>
        <v>354073.5118094401</v>
      </c>
      <c r="Q19" s="75">
        <f t="shared" si="13"/>
        <v>1290397.40616</v>
      </c>
      <c r="R19" s="257" t="s">
        <v>123</v>
      </c>
      <c r="S19" s="208">
        <v>184185</v>
      </c>
      <c r="T19" s="85">
        <v>135</v>
      </c>
      <c r="V19" s="30">
        <f t="shared" si="2"/>
        <v>3.0209999999999999</v>
      </c>
      <c r="W19" s="30">
        <f t="shared" si="6"/>
        <v>0</v>
      </c>
      <c r="X19" s="30">
        <f t="shared" si="3"/>
        <v>0</v>
      </c>
      <c r="Y19" s="30">
        <f t="shared" si="7"/>
        <v>90.021000000000001</v>
      </c>
      <c r="Z19" s="30">
        <f t="shared" si="4"/>
        <v>90</v>
      </c>
      <c r="AA19" s="30">
        <f t="shared" si="5"/>
        <v>0</v>
      </c>
      <c r="AB19" s="30">
        <f t="shared" si="10"/>
        <v>90.021000000000001</v>
      </c>
      <c r="AC19" s="95">
        <f t="shared" si="8"/>
        <v>1590397.40616</v>
      </c>
      <c r="AD19" s="86">
        <f t="shared" si="9"/>
        <v>0</v>
      </c>
    </row>
    <row r="20" spans="1:39" s="88" customFormat="1" ht="15" customHeight="1" thickBot="1" x14ac:dyDescent="0.25">
      <c r="A20" s="167" t="s">
        <v>47</v>
      </c>
      <c r="B20" s="162">
        <v>100</v>
      </c>
      <c r="C20" s="168">
        <v>8</v>
      </c>
      <c r="D20" s="169" t="s">
        <v>53</v>
      </c>
      <c r="E20" s="170">
        <v>3</v>
      </c>
      <c r="F20" s="170">
        <v>5</v>
      </c>
      <c r="G20" s="171">
        <v>125.35</v>
      </c>
      <c r="H20" s="190">
        <v>15.88</v>
      </c>
      <c r="I20" s="200">
        <v>6.35</v>
      </c>
      <c r="J20" s="200">
        <v>2</v>
      </c>
      <c r="K20" s="72">
        <f t="shared" si="11"/>
        <v>2413333.2364399997</v>
      </c>
      <c r="L20" s="78" t="s">
        <v>54</v>
      </c>
      <c r="M20" s="84"/>
      <c r="N20" s="74">
        <f>IF(K20*$N$11&lt;(K20-$N$10),K20-$N$10,K20*$N$11)</f>
        <v>2113333.2364399997</v>
      </c>
      <c r="O20" s="74">
        <f>K20*$O$11</f>
        <v>2495386.5664789598</v>
      </c>
      <c r="P20" s="75">
        <f t="shared" si="12"/>
        <v>382053.33003896009</v>
      </c>
      <c r="Q20" s="75">
        <f t="shared" si="13"/>
        <v>2113333.2364399997</v>
      </c>
      <c r="R20" s="258" t="s">
        <v>124</v>
      </c>
      <c r="S20" s="210">
        <v>194195</v>
      </c>
      <c r="T20" s="85">
        <v>136</v>
      </c>
      <c r="U20" s="86"/>
      <c r="V20" s="30">
        <f t="shared" si="2"/>
        <v>4.7640000000000002</v>
      </c>
      <c r="W20" s="30">
        <f t="shared" si="6"/>
        <v>0</v>
      </c>
      <c r="X20" s="30">
        <f t="shared" si="3"/>
        <v>0</v>
      </c>
      <c r="Y20" s="30">
        <f t="shared" si="7"/>
        <v>136.654</v>
      </c>
      <c r="Z20" s="30">
        <f t="shared" si="4"/>
        <v>125</v>
      </c>
      <c r="AA20" s="30">
        <f t="shared" si="5"/>
        <v>5.2499999999999145E-2</v>
      </c>
      <c r="AB20" s="30">
        <f t="shared" si="10"/>
        <v>136.60149999999999</v>
      </c>
      <c r="AC20" s="95">
        <f t="shared" si="8"/>
        <v>2413333.2364399997</v>
      </c>
      <c r="AD20" s="86">
        <f t="shared" si="9"/>
        <v>0</v>
      </c>
    </row>
    <row r="21" spans="1:39" s="88" customFormat="1" ht="14.25" customHeight="1" x14ac:dyDescent="0.2">
      <c r="A21" s="161" t="s">
        <v>47</v>
      </c>
      <c r="B21" s="162">
        <v>100</v>
      </c>
      <c r="C21" s="163">
        <v>9</v>
      </c>
      <c r="D21" s="164" t="s">
        <v>52</v>
      </c>
      <c r="E21" s="165">
        <v>4</v>
      </c>
      <c r="F21" s="165">
        <v>3</v>
      </c>
      <c r="G21" s="166">
        <v>80.459999999999994</v>
      </c>
      <c r="H21" s="189">
        <v>10.07</v>
      </c>
      <c r="I21" s="200">
        <v>6.35</v>
      </c>
      <c r="J21" s="200">
        <v>2</v>
      </c>
      <c r="K21" s="72">
        <f>AB21*$O$9</f>
        <v>1590397.40616</v>
      </c>
      <c r="L21" s="78" t="s">
        <v>54</v>
      </c>
      <c r="M21" s="84"/>
      <c r="N21" s="74">
        <f>IF(K21*$N$11&lt;(K21-$N$10),K21-$N$10,K21*$N$11)</f>
        <v>1290397.40616</v>
      </c>
      <c r="O21" s="74">
        <f>K21*$O$11</f>
        <v>1644470.9179694401</v>
      </c>
      <c r="P21" s="75">
        <f t="shared" si="12"/>
        <v>354073.5118094401</v>
      </c>
      <c r="Q21" s="75">
        <f t="shared" si="13"/>
        <v>1290397.40616</v>
      </c>
      <c r="R21" s="257" t="s">
        <v>123</v>
      </c>
      <c r="S21" s="208">
        <v>186187</v>
      </c>
      <c r="T21" s="85">
        <v>137</v>
      </c>
      <c r="V21" s="30">
        <f t="shared" si="2"/>
        <v>3.0209999999999999</v>
      </c>
      <c r="W21" s="30">
        <f t="shared" si="6"/>
        <v>0</v>
      </c>
      <c r="X21" s="30">
        <f t="shared" si="3"/>
        <v>0</v>
      </c>
      <c r="Y21" s="30">
        <f t="shared" si="7"/>
        <v>90.021000000000001</v>
      </c>
      <c r="Z21" s="30">
        <f t="shared" si="4"/>
        <v>90</v>
      </c>
      <c r="AA21" s="30">
        <f t="shared" si="5"/>
        <v>0</v>
      </c>
      <c r="AB21" s="30">
        <f t="shared" si="10"/>
        <v>90.021000000000001</v>
      </c>
      <c r="AC21" s="95">
        <f t="shared" si="8"/>
        <v>1590397.40616</v>
      </c>
      <c r="AD21" s="86">
        <f t="shared" si="9"/>
        <v>0</v>
      </c>
    </row>
    <row r="22" spans="1:39" ht="15" customHeight="1" thickBot="1" x14ac:dyDescent="0.25">
      <c r="A22" s="167" t="s">
        <v>47</v>
      </c>
      <c r="B22" s="162">
        <v>100</v>
      </c>
      <c r="C22" s="168">
        <v>10</v>
      </c>
      <c r="D22" s="169" t="s">
        <v>53</v>
      </c>
      <c r="E22" s="170">
        <v>4</v>
      </c>
      <c r="F22" s="170">
        <v>5</v>
      </c>
      <c r="G22" s="171">
        <v>125.35</v>
      </c>
      <c r="H22" s="190">
        <v>15.88</v>
      </c>
      <c r="I22" s="200">
        <v>6.35</v>
      </c>
      <c r="J22" s="200">
        <v>2</v>
      </c>
      <c r="K22" s="72">
        <f t="shared" si="11"/>
        <v>2413333.2364399997</v>
      </c>
      <c r="L22" s="78" t="s">
        <v>54</v>
      </c>
      <c r="M22" s="84"/>
      <c r="N22" s="74">
        <f>IF(K22*$N$11&lt;(K22-$N$10),K22-$N$10,K22*$N$11)</f>
        <v>2113333.2364399997</v>
      </c>
      <c r="O22" s="74">
        <f>K22*$O$11</f>
        <v>2495386.5664789598</v>
      </c>
      <c r="P22" s="75">
        <f t="shared" si="12"/>
        <v>382053.33003896009</v>
      </c>
      <c r="Q22" s="75">
        <f t="shared" si="13"/>
        <v>2113333.2364399997</v>
      </c>
      <c r="R22" s="258" t="s">
        <v>124</v>
      </c>
      <c r="S22" s="210">
        <v>196197</v>
      </c>
      <c r="T22" s="85">
        <v>138</v>
      </c>
      <c r="U22" s="86">
        <f>P22-500000</f>
        <v>-117946.66996103991</v>
      </c>
      <c r="V22" s="30">
        <f t="shared" si="2"/>
        <v>4.7640000000000002</v>
      </c>
      <c r="W22" s="30">
        <f t="shared" si="6"/>
        <v>0</v>
      </c>
      <c r="X22" s="30">
        <f t="shared" si="3"/>
        <v>0</v>
      </c>
      <c r="Y22" s="30">
        <f t="shared" si="7"/>
        <v>136.654</v>
      </c>
      <c r="Z22" s="30">
        <f t="shared" si="4"/>
        <v>125</v>
      </c>
      <c r="AA22" s="30">
        <f t="shared" si="5"/>
        <v>5.2499999999999145E-2</v>
      </c>
      <c r="AB22" s="30">
        <f t="shared" si="10"/>
        <v>136.60149999999999</v>
      </c>
      <c r="AF22" s="88"/>
      <c r="AG22" s="88"/>
      <c r="AH22" s="88"/>
      <c r="AI22" s="88"/>
    </row>
    <row r="23" spans="1:39" ht="14.25" customHeight="1" x14ac:dyDescent="0.2">
      <c r="A23" s="161" t="s">
        <v>47</v>
      </c>
      <c r="B23" s="162">
        <v>100</v>
      </c>
      <c r="C23" s="163">
        <v>11</v>
      </c>
      <c r="D23" s="164" t="s">
        <v>52</v>
      </c>
      <c r="E23" s="165">
        <v>5</v>
      </c>
      <c r="F23" s="165">
        <v>3</v>
      </c>
      <c r="G23" s="166">
        <v>80.459999999999994</v>
      </c>
      <c r="H23" s="189">
        <v>10.07</v>
      </c>
      <c r="I23" s="200">
        <v>6.35</v>
      </c>
      <c r="J23" s="200">
        <v>2</v>
      </c>
      <c r="K23" s="72">
        <f t="shared" si="11"/>
        <v>1590397.40616</v>
      </c>
      <c r="L23" s="78" t="s">
        <v>54</v>
      </c>
      <c r="M23" s="84"/>
      <c r="N23" s="74">
        <f>IF(K23*$N$11&lt;(K23-$N$10),K23-$N$10,K23*$N$11)</f>
        <v>1290397.40616</v>
      </c>
      <c r="O23" s="74">
        <f>K23*$O$11</f>
        <v>1644470.9179694401</v>
      </c>
      <c r="P23" s="75">
        <f t="shared" si="12"/>
        <v>354073.5118094401</v>
      </c>
      <c r="Q23" s="75">
        <f t="shared" si="13"/>
        <v>1290397.40616</v>
      </c>
      <c r="R23" s="257" t="s">
        <v>123</v>
      </c>
      <c r="S23" s="208">
        <v>188189</v>
      </c>
      <c r="T23" s="85">
        <v>139</v>
      </c>
      <c r="V23" s="30">
        <f t="shared" si="2"/>
        <v>3.0209999999999999</v>
      </c>
      <c r="W23" s="30">
        <f t="shared" si="6"/>
        <v>0</v>
      </c>
      <c r="X23" s="30">
        <f t="shared" si="3"/>
        <v>0</v>
      </c>
      <c r="Y23" s="30">
        <f t="shared" si="7"/>
        <v>90.021000000000001</v>
      </c>
      <c r="Z23" s="30">
        <f t="shared" si="4"/>
        <v>90</v>
      </c>
      <c r="AA23" s="30">
        <f t="shared" si="5"/>
        <v>0</v>
      </c>
      <c r="AB23" s="30">
        <f t="shared" si="10"/>
        <v>90.021000000000001</v>
      </c>
      <c r="AC23" s="95">
        <f>AB23*$O$9</f>
        <v>1590397.40616</v>
      </c>
      <c r="AD23" s="86">
        <f>AC23-K23</f>
        <v>0</v>
      </c>
      <c r="AF23" s="88"/>
      <c r="AG23" s="88"/>
      <c r="AH23" s="88"/>
      <c r="AI23" s="88"/>
      <c r="AJ23" s="88"/>
      <c r="AK23" s="88"/>
      <c r="AL23" s="88"/>
      <c r="AM23" s="88"/>
    </row>
    <row r="24" spans="1:39" ht="15" hidden="1" customHeight="1" thickBot="1" x14ac:dyDescent="0.25">
      <c r="A24" s="77" t="s">
        <v>47</v>
      </c>
      <c r="B24" s="78">
        <v>100</v>
      </c>
      <c r="C24" s="79">
        <v>12</v>
      </c>
      <c r="D24" s="80" t="s">
        <v>53</v>
      </c>
      <c r="E24" s="81">
        <v>5</v>
      </c>
      <c r="F24" s="81">
        <v>5</v>
      </c>
      <c r="G24" s="82">
        <v>125.35</v>
      </c>
      <c r="H24" s="83">
        <v>15.88</v>
      </c>
      <c r="I24" s="71">
        <v>6.35</v>
      </c>
      <c r="J24" s="71">
        <v>2</v>
      </c>
      <c r="K24" s="72"/>
      <c r="L24" s="78" t="s">
        <v>50</v>
      </c>
      <c r="M24" s="84"/>
      <c r="N24" s="74"/>
      <c r="O24" s="74"/>
      <c r="P24" s="75"/>
      <c r="Q24" s="75"/>
      <c r="R24" s="258" t="s">
        <v>124</v>
      </c>
      <c r="S24" s="207" t="s">
        <v>103</v>
      </c>
      <c r="T24" s="85">
        <v>140</v>
      </c>
      <c r="U24" s="86">
        <f>P24-500000</f>
        <v>-500000</v>
      </c>
      <c r="V24" s="30">
        <f t="shared" si="2"/>
        <v>4.7640000000000002</v>
      </c>
      <c r="W24" s="30">
        <f t="shared" si="6"/>
        <v>0</v>
      </c>
      <c r="X24" s="30">
        <f t="shared" si="3"/>
        <v>0</v>
      </c>
      <c r="Y24" s="30">
        <f t="shared" si="7"/>
        <v>136.654</v>
      </c>
      <c r="Z24" s="30">
        <f t="shared" si="4"/>
        <v>125</v>
      </c>
      <c r="AA24" s="30">
        <f t="shared" si="5"/>
        <v>5.2499999999999145E-2</v>
      </c>
      <c r="AB24" s="30">
        <f t="shared" si="10"/>
        <v>136.60149999999999</v>
      </c>
    </row>
    <row r="25" spans="1:39" ht="14.25" customHeight="1" x14ac:dyDescent="0.2">
      <c r="A25" s="161" t="s">
        <v>47</v>
      </c>
      <c r="B25" s="162">
        <v>100</v>
      </c>
      <c r="C25" s="163">
        <v>13</v>
      </c>
      <c r="D25" s="164" t="s">
        <v>52</v>
      </c>
      <c r="E25" s="165">
        <v>6</v>
      </c>
      <c r="F25" s="165">
        <v>3</v>
      </c>
      <c r="G25" s="166">
        <v>80.459999999999994</v>
      </c>
      <c r="H25" s="189">
        <v>10.07</v>
      </c>
      <c r="I25" s="200">
        <v>6.35</v>
      </c>
      <c r="J25" s="200">
        <v>2</v>
      </c>
      <c r="K25" s="72">
        <f t="shared" si="11"/>
        <v>1590397.40616</v>
      </c>
      <c r="L25" s="78" t="s">
        <v>54</v>
      </c>
      <c r="M25" s="84"/>
      <c r="N25" s="74">
        <f>IF(K25*$N$11&lt;(K25-$N$10),K25-$N$10,K25*$N$11)</f>
        <v>1290397.40616</v>
      </c>
      <c r="O25" s="74">
        <f>K25*$O$11</f>
        <v>1644470.9179694401</v>
      </c>
      <c r="P25" s="75">
        <f t="shared" si="12"/>
        <v>354073.5118094401</v>
      </c>
      <c r="Q25" s="75">
        <f t="shared" si="13"/>
        <v>1290397.40616</v>
      </c>
      <c r="R25" s="257" t="s">
        <v>123</v>
      </c>
      <c r="S25" s="208">
        <v>190191</v>
      </c>
      <c r="T25" s="85">
        <v>141</v>
      </c>
      <c r="V25" s="30">
        <f t="shared" si="2"/>
        <v>3.0209999999999999</v>
      </c>
      <c r="W25" s="30">
        <f t="shared" si="6"/>
        <v>0</v>
      </c>
      <c r="X25" s="30">
        <f t="shared" si="3"/>
        <v>0</v>
      </c>
      <c r="Y25" s="30">
        <f t="shared" si="7"/>
        <v>90.021000000000001</v>
      </c>
      <c r="Z25" s="30">
        <f t="shared" si="4"/>
        <v>90</v>
      </c>
      <c r="AA25" s="30">
        <f t="shared" si="5"/>
        <v>0</v>
      </c>
      <c r="AB25" s="30">
        <f t="shared" si="10"/>
        <v>90.021000000000001</v>
      </c>
      <c r="AF25" s="88"/>
      <c r="AI25" s="88"/>
    </row>
    <row r="26" spans="1:39" ht="15" hidden="1" customHeight="1" thickBot="1" x14ac:dyDescent="0.25">
      <c r="A26" s="77" t="s">
        <v>47</v>
      </c>
      <c r="B26" s="78">
        <v>100</v>
      </c>
      <c r="C26" s="79">
        <v>14</v>
      </c>
      <c r="D26" s="80" t="s">
        <v>53</v>
      </c>
      <c r="E26" s="81">
        <v>6</v>
      </c>
      <c r="F26" s="81">
        <v>5</v>
      </c>
      <c r="G26" s="82">
        <v>125.35</v>
      </c>
      <c r="H26" s="83">
        <v>15.88</v>
      </c>
      <c r="I26" s="71">
        <v>6.35</v>
      </c>
      <c r="J26" s="71">
        <v>2</v>
      </c>
      <c r="K26" s="72"/>
      <c r="L26" s="78" t="s">
        <v>50</v>
      </c>
      <c r="M26" s="84"/>
      <c r="N26" s="74"/>
      <c r="O26" s="74"/>
      <c r="P26" s="75"/>
      <c r="Q26" s="75"/>
      <c r="R26" s="258" t="s">
        <v>124</v>
      </c>
      <c r="S26" s="208">
        <v>212198</v>
      </c>
      <c r="T26" s="85">
        <v>142</v>
      </c>
      <c r="U26" s="86">
        <f>P26-500000</f>
        <v>-500000</v>
      </c>
      <c r="V26" s="30">
        <f t="shared" si="2"/>
        <v>4.7640000000000002</v>
      </c>
      <c r="W26" s="30">
        <f t="shared" si="6"/>
        <v>0</v>
      </c>
      <c r="X26" s="30">
        <f t="shared" si="3"/>
        <v>0</v>
      </c>
      <c r="Y26" s="30">
        <f t="shared" si="7"/>
        <v>136.654</v>
      </c>
      <c r="Z26" s="30">
        <f t="shared" si="4"/>
        <v>125</v>
      </c>
      <c r="AA26" s="30">
        <f t="shared" si="5"/>
        <v>5.2499999999999145E-2</v>
      </c>
      <c r="AB26" s="30">
        <f t="shared" si="10"/>
        <v>136.60149999999999</v>
      </c>
    </row>
    <row r="27" spans="1:39" ht="15" hidden="1" customHeight="1" thickBot="1" x14ac:dyDescent="0.25">
      <c r="A27" s="77" t="s">
        <v>47</v>
      </c>
      <c r="B27" s="78">
        <v>100</v>
      </c>
      <c r="C27" s="79">
        <v>15</v>
      </c>
      <c r="D27" s="81" t="s">
        <v>55</v>
      </c>
      <c r="E27" s="97">
        <v>7</v>
      </c>
      <c r="F27" s="97">
        <v>5</v>
      </c>
      <c r="G27" s="82">
        <v>142.6</v>
      </c>
      <c r="H27" s="83">
        <v>102.14</v>
      </c>
      <c r="I27" s="71">
        <v>6.49</v>
      </c>
      <c r="J27" s="71">
        <v>2</v>
      </c>
      <c r="K27" s="72"/>
      <c r="L27" s="78" t="s">
        <v>50</v>
      </c>
      <c r="M27" s="84"/>
      <c r="N27" s="74"/>
      <c r="O27" s="74"/>
      <c r="P27" s="75"/>
      <c r="Q27" s="75"/>
      <c r="R27" s="258" t="s">
        <v>124</v>
      </c>
      <c r="S27" s="208">
        <v>205206</v>
      </c>
      <c r="T27" s="85">
        <v>40</v>
      </c>
      <c r="U27" s="86">
        <f>P27-500000</f>
        <v>-500000</v>
      </c>
      <c r="V27" s="30">
        <f t="shared" si="2"/>
        <v>9</v>
      </c>
      <c r="W27" s="87">
        <v>6</v>
      </c>
      <c r="X27" s="30">
        <f t="shared" si="3"/>
        <v>4.2140000000000004</v>
      </c>
      <c r="Y27" s="30">
        <f>W27+V27+G27+I27*$I$11+X27+J27*$J$11</f>
        <v>168.41</v>
      </c>
      <c r="Z27" s="30">
        <f t="shared" si="4"/>
        <v>125</v>
      </c>
      <c r="AA27" s="30">
        <f t="shared" si="5"/>
        <v>2.6399999999999992</v>
      </c>
      <c r="AB27" s="30">
        <f t="shared" si="10"/>
        <v>165.77</v>
      </c>
    </row>
    <row r="28" spans="1:39" ht="15.75" hidden="1" customHeight="1" thickBot="1" x14ac:dyDescent="0.3">
      <c r="A28" s="274" t="s">
        <v>56</v>
      </c>
      <c r="B28" s="275"/>
      <c r="C28" s="276"/>
      <c r="D28" s="276"/>
      <c r="E28" s="276"/>
      <c r="F28" s="276"/>
      <c r="G28" s="98">
        <f>SUMIF(L13:L27,"כן",G13:G27)/COUNT(C13:C27)</f>
        <v>43.533333333333331</v>
      </c>
      <c r="H28" s="99"/>
      <c r="I28" s="100" t="s">
        <v>57</v>
      </c>
      <c r="J28" s="99"/>
      <c r="K28" s="101">
        <f>COUNTIF(L13:L27,"כן")/COUNT(C13:C27)</f>
        <v>0.46666666666666667</v>
      </c>
      <c r="L28" s="101">
        <v>0.46666666666666667</v>
      </c>
      <c r="M28" s="74">
        <f>J28*0.8</f>
        <v>0</v>
      </c>
      <c r="N28" s="74">
        <f>J28*$N$11</f>
        <v>0</v>
      </c>
      <c r="O28" s="75">
        <f t="shared" ref="O28" si="14">N28-M28</f>
        <v>0</v>
      </c>
      <c r="P28" s="75">
        <f t="shared" ref="P28" si="15">M28+T28</f>
        <v>0</v>
      </c>
      <c r="Q28" s="102"/>
      <c r="R28" s="103"/>
      <c r="S28" s="205"/>
      <c r="T28" s="86"/>
      <c r="V28" s="30">
        <f t="shared" si="2"/>
        <v>0</v>
      </c>
      <c r="W28" s="30">
        <f>IF(H28&gt;$V$10,(H28-$V$10)*$W$11,0)</f>
        <v>0</v>
      </c>
      <c r="X28" s="30">
        <f t="shared" si="3"/>
        <v>0</v>
      </c>
      <c r="Y28" s="30" t="e">
        <f>W28+V28+G28+I28*$I$11+J28*$J$11</f>
        <v>#VALUE!</v>
      </c>
    </row>
    <row r="29" spans="1:39" ht="14.25" hidden="1" customHeight="1" x14ac:dyDescent="0.2">
      <c r="A29" s="89" t="s">
        <v>58</v>
      </c>
      <c r="B29" s="65">
        <v>100</v>
      </c>
      <c r="C29" s="90">
        <v>1</v>
      </c>
      <c r="D29" s="91" t="s">
        <v>59</v>
      </c>
      <c r="E29" s="91" t="s">
        <v>49</v>
      </c>
      <c r="F29" s="91">
        <v>5</v>
      </c>
      <c r="G29" s="93">
        <v>125.53</v>
      </c>
      <c r="H29" s="94">
        <v>153.13999999999999</v>
      </c>
      <c r="I29" s="71">
        <v>7.68</v>
      </c>
      <c r="J29" s="71">
        <v>2</v>
      </c>
      <c r="K29" s="72"/>
      <c r="L29" s="65" t="s">
        <v>50</v>
      </c>
      <c r="M29" s="73"/>
      <c r="N29" s="74"/>
      <c r="O29" s="74"/>
      <c r="P29" s="75"/>
      <c r="Q29" s="75"/>
      <c r="R29" s="257" t="s">
        <v>125</v>
      </c>
      <c r="S29" s="207" t="s">
        <v>101</v>
      </c>
      <c r="T29" s="85">
        <v>41</v>
      </c>
      <c r="U29" s="86">
        <f>P29-500000</f>
        <v>-500000</v>
      </c>
      <c r="V29" s="30">
        <f t="shared" si="2"/>
        <v>9</v>
      </c>
      <c r="W29" s="87">
        <v>6</v>
      </c>
      <c r="X29" s="30">
        <f t="shared" si="3"/>
        <v>6</v>
      </c>
      <c r="Y29" s="30">
        <f>W29+V29+G29+I29*$I$11+X29+J29*$J$11</f>
        <v>153.602</v>
      </c>
      <c r="Z29" s="30">
        <f t="shared" ref="Z29:Z43" si="16">VLOOKUP(F29,$AC$3:$AD$11,2,FALSE)</f>
        <v>125</v>
      </c>
      <c r="AA29" s="30">
        <f t="shared" ref="AA29:AA60" si="17">IF(G29&gt;Z29,(G29-Z29)*0.15,0)</f>
        <v>7.9500000000000168E-2</v>
      </c>
      <c r="AB29" s="30">
        <f t="shared" si="10"/>
        <v>153.52250000000001</v>
      </c>
    </row>
    <row r="30" spans="1:39" ht="14.25" hidden="1" customHeight="1" x14ac:dyDescent="0.2">
      <c r="A30" s="89" t="s">
        <v>58</v>
      </c>
      <c r="B30" s="78">
        <v>100</v>
      </c>
      <c r="C30" s="90">
        <v>2</v>
      </c>
      <c r="D30" s="91" t="s">
        <v>60</v>
      </c>
      <c r="E30" s="92" t="s">
        <v>49</v>
      </c>
      <c r="F30" s="92">
        <v>3</v>
      </c>
      <c r="G30" s="93">
        <v>80.55</v>
      </c>
      <c r="H30" s="94">
        <v>38.67</v>
      </c>
      <c r="I30" s="71">
        <v>7.68</v>
      </c>
      <c r="J30" s="71">
        <v>2</v>
      </c>
      <c r="K30" s="72"/>
      <c r="L30" s="78" t="s">
        <v>50</v>
      </c>
      <c r="M30" s="73"/>
      <c r="N30" s="74"/>
      <c r="O30" s="74"/>
      <c r="P30" s="75"/>
      <c r="Q30" s="75"/>
      <c r="R30" s="257" t="s">
        <v>123</v>
      </c>
      <c r="S30" s="208">
        <v>134135</v>
      </c>
      <c r="T30" s="85">
        <v>42</v>
      </c>
      <c r="V30" s="30">
        <f t="shared" si="2"/>
        <v>9</v>
      </c>
      <c r="W30" s="30">
        <f t="shared" ref="W30:W42" si="18">IF(H30&gt;$V$10,(H30-$V$10)*$W$11,0)</f>
        <v>1.7340000000000004</v>
      </c>
      <c r="X30" s="30">
        <f t="shared" si="3"/>
        <v>0</v>
      </c>
      <c r="Y30" s="30">
        <f t="shared" ref="Y30:Y42" si="19">W30+V30+G30+I30*$I$11+J30*$J$11</f>
        <v>98.355999999999995</v>
      </c>
      <c r="Z30" s="30">
        <f t="shared" si="16"/>
        <v>90</v>
      </c>
      <c r="AA30" s="30">
        <f t="shared" si="17"/>
        <v>0</v>
      </c>
      <c r="AB30" s="30">
        <f t="shared" si="10"/>
        <v>98.355999999999995</v>
      </c>
    </row>
    <row r="31" spans="1:39" ht="14.25" hidden="1" customHeight="1" x14ac:dyDescent="0.2">
      <c r="A31" s="104" t="s">
        <v>58</v>
      </c>
      <c r="B31" s="78">
        <v>100</v>
      </c>
      <c r="C31" s="105">
        <v>3</v>
      </c>
      <c r="D31" s="106" t="s">
        <v>61</v>
      </c>
      <c r="E31" s="107">
        <v>1</v>
      </c>
      <c r="F31" s="107">
        <v>5</v>
      </c>
      <c r="G31" s="108">
        <v>125.46</v>
      </c>
      <c r="H31" s="109">
        <v>26.56</v>
      </c>
      <c r="I31" s="71">
        <v>7.33</v>
      </c>
      <c r="J31" s="71">
        <v>2</v>
      </c>
      <c r="K31" s="72"/>
      <c r="L31" s="78" t="s">
        <v>50</v>
      </c>
      <c r="M31" s="73"/>
      <c r="N31" s="74"/>
      <c r="O31" s="74"/>
      <c r="P31" s="75"/>
      <c r="Q31" s="75"/>
      <c r="R31" s="257" t="s">
        <v>125</v>
      </c>
      <c r="S31" s="208">
        <v>217218</v>
      </c>
      <c r="T31" s="85">
        <v>143</v>
      </c>
      <c r="U31" s="86"/>
      <c r="V31" s="30">
        <f t="shared" si="2"/>
        <v>7.9679999999999991</v>
      </c>
      <c r="W31" s="30">
        <f t="shared" si="18"/>
        <v>0</v>
      </c>
      <c r="X31" s="30">
        <f t="shared" si="3"/>
        <v>0</v>
      </c>
      <c r="Y31" s="30">
        <f t="shared" si="19"/>
        <v>140.35999999999999</v>
      </c>
      <c r="Z31" s="30">
        <f t="shared" si="16"/>
        <v>125</v>
      </c>
      <c r="AA31" s="30">
        <f t="shared" si="17"/>
        <v>6.8999999999999062E-2</v>
      </c>
      <c r="AB31" s="30">
        <f t="shared" si="10"/>
        <v>140.291</v>
      </c>
      <c r="AC31" s="95">
        <f t="shared" ref="AC31:AC37" si="20">AB31*$O$9</f>
        <v>2478515.4853599998</v>
      </c>
      <c r="AD31" s="86">
        <f t="shared" ref="AD31:AD37" si="21">AC31-K31</f>
        <v>2478515.4853599998</v>
      </c>
    </row>
    <row r="32" spans="1:39" ht="14.25" hidden="1" customHeight="1" x14ac:dyDescent="0.2">
      <c r="A32" s="89" t="s">
        <v>58</v>
      </c>
      <c r="B32" s="78">
        <v>100</v>
      </c>
      <c r="C32" s="90">
        <v>4</v>
      </c>
      <c r="D32" s="91" t="s">
        <v>62</v>
      </c>
      <c r="E32" s="92">
        <v>1</v>
      </c>
      <c r="F32" s="92">
        <v>3</v>
      </c>
      <c r="G32" s="93">
        <v>80.88</v>
      </c>
      <c r="H32" s="94">
        <v>20.65</v>
      </c>
      <c r="I32" s="71">
        <v>7.3</v>
      </c>
      <c r="J32" s="71">
        <v>2</v>
      </c>
      <c r="K32" s="72"/>
      <c r="L32" s="78" t="s">
        <v>50</v>
      </c>
      <c r="M32" s="73"/>
      <c r="N32" s="74"/>
      <c r="O32" s="74"/>
      <c r="P32" s="75"/>
      <c r="Q32" s="75"/>
      <c r="R32" s="257" t="s">
        <v>123</v>
      </c>
      <c r="S32" s="208">
        <v>213214</v>
      </c>
      <c r="T32" s="85">
        <v>154</v>
      </c>
      <c r="V32" s="30">
        <f t="shared" si="2"/>
        <v>6.1949999999999994</v>
      </c>
      <c r="W32" s="30">
        <f t="shared" si="18"/>
        <v>0</v>
      </c>
      <c r="X32" s="30">
        <f t="shared" si="3"/>
        <v>0</v>
      </c>
      <c r="Y32" s="30">
        <f t="shared" si="19"/>
        <v>93.99499999999999</v>
      </c>
      <c r="Z32" s="30">
        <f t="shared" si="16"/>
        <v>90</v>
      </c>
      <c r="AA32" s="30">
        <f t="shared" si="17"/>
        <v>0</v>
      </c>
      <c r="AB32" s="30">
        <f t="shared" si="10"/>
        <v>93.99499999999999</v>
      </c>
      <c r="AC32" s="95">
        <f t="shared" si="20"/>
        <v>1660605.9051999997</v>
      </c>
      <c r="AD32" s="86">
        <f t="shared" si="21"/>
        <v>1660605.9051999997</v>
      </c>
    </row>
    <row r="33" spans="1:34" ht="14.25" customHeight="1" x14ac:dyDescent="0.2">
      <c r="A33" s="172" t="s">
        <v>58</v>
      </c>
      <c r="B33" s="162">
        <v>100</v>
      </c>
      <c r="C33" s="173">
        <v>5</v>
      </c>
      <c r="D33" s="174" t="s">
        <v>61</v>
      </c>
      <c r="E33" s="175">
        <v>2</v>
      </c>
      <c r="F33" s="175">
        <v>5</v>
      </c>
      <c r="G33" s="176">
        <v>125.25</v>
      </c>
      <c r="H33" s="191">
        <v>15.88</v>
      </c>
      <c r="I33" s="200">
        <v>7.33</v>
      </c>
      <c r="J33" s="200">
        <v>2</v>
      </c>
      <c r="K33" s="72">
        <f t="shared" ref="K33:K40" si="22">AB33*$O$9</f>
        <v>2418756.9931600001</v>
      </c>
      <c r="L33" s="78" t="s">
        <v>54</v>
      </c>
      <c r="M33" s="73"/>
      <c r="N33" s="74">
        <f t="shared" ref="N33:N38" si="23">IF(K33*$N$11&lt;(K33-$N$10),K33-$N$10,K33*$N$11)</f>
        <v>2118756.9931600001</v>
      </c>
      <c r="O33" s="74">
        <f t="shared" ref="O33:O38" si="24">K33*$O$11</f>
        <v>2500994.7309274403</v>
      </c>
      <c r="P33" s="75">
        <f t="shared" ref="P33:P40" si="25">O33-N33</f>
        <v>382237.73776744027</v>
      </c>
      <c r="Q33" s="75">
        <f t="shared" ref="Q33:Q40" si="26">IF(P33&gt;$Q$11,(P33-$Q$11+N33),N33)</f>
        <v>2118756.9931600001</v>
      </c>
      <c r="R33" s="257" t="s">
        <v>125</v>
      </c>
      <c r="S33" s="209">
        <v>172173</v>
      </c>
      <c r="T33" s="85">
        <v>145</v>
      </c>
      <c r="U33" s="86"/>
      <c r="V33" s="30">
        <f t="shared" si="2"/>
        <v>4.7640000000000002</v>
      </c>
      <c r="W33" s="30">
        <f t="shared" si="18"/>
        <v>0</v>
      </c>
      <c r="X33" s="30">
        <f t="shared" si="3"/>
        <v>0</v>
      </c>
      <c r="Y33" s="30">
        <f t="shared" si="19"/>
        <v>136.946</v>
      </c>
      <c r="Z33" s="30">
        <f t="shared" si="16"/>
        <v>125</v>
      </c>
      <c r="AA33" s="30">
        <f t="shared" si="17"/>
        <v>3.7499999999999999E-2</v>
      </c>
      <c r="AB33" s="30">
        <f t="shared" si="10"/>
        <v>136.9085</v>
      </c>
      <c r="AC33" s="95">
        <f t="shared" si="20"/>
        <v>2418756.9931600001</v>
      </c>
      <c r="AD33" s="86">
        <f t="shared" si="21"/>
        <v>0</v>
      </c>
    </row>
    <row r="34" spans="1:34" ht="14.25" customHeight="1" x14ac:dyDescent="0.2">
      <c r="A34" s="177" t="s">
        <v>58</v>
      </c>
      <c r="B34" s="162">
        <v>100</v>
      </c>
      <c r="C34" s="178">
        <v>6</v>
      </c>
      <c r="D34" s="179" t="s">
        <v>62</v>
      </c>
      <c r="E34" s="180">
        <v>2</v>
      </c>
      <c r="F34" s="180">
        <v>3</v>
      </c>
      <c r="G34" s="181">
        <v>80.88</v>
      </c>
      <c r="H34" s="192">
        <v>10.07</v>
      </c>
      <c r="I34" s="200">
        <v>7.3</v>
      </c>
      <c r="J34" s="200">
        <v>2</v>
      </c>
      <c r="K34" s="72">
        <f t="shared" si="22"/>
        <v>1604530.97416</v>
      </c>
      <c r="L34" s="78" t="s">
        <v>54</v>
      </c>
      <c r="M34" s="73"/>
      <c r="N34" s="74">
        <f t="shared" si="23"/>
        <v>1304530.97416</v>
      </c>
      <c r="O34" s="74">
        <f t="shared" si="24"/>
        <v>1659085.0272814401</v>
      </c>
      <c r="P34" s="75">
        <f t="shared" si="25"/>
        <v>354554.05312144011</v>
      </c>
      <c r="Q34" s="75">
        <f t="shared" si="26"/>
        <v>1304530.97416</v>
      </c>
      <c r="R34" s="257" t="s">
        <v>123</v>
      </c>
      <c r="S34" s="208">
        <v>192193</v>
      </c>
      <c r="T34" s="85">
        <v>152</v>
      </c>
      <c r="V34" s="30">
        <f t="shared" si="2"/>
        <v>3.0209999999999999</v>
      </c>
      <c r="W34" s="30">
        <f t="shared" si="18"/>
        <v>0</v>
      </c>
      <c r="X34" s="30">
        <f t="shared" si="3"/>
        <v>0</v>
      </c>
      <c r="Y34" s="30">
        <f t="shared" si="19"/>
        <v>90.820999999999998</v>
      </c>
      <c r="Z34" s="30">
        <f t="shared" si="16"/>
        <v>90</v>
      </c>
      <c r="AA34" s="30">
        <f t="shared" si="17"/>
        <v>0</v>
      </c>
      <c r="AB34" s="30">
        <f t="shared" si="10"/>
        <v>90.820999999999998</v>
      </c>
      <c r="AC34" s="95">
        <f t="shared" si="20"/>
        <v>1604530.97416</v>
      </c>
      <c r="AD34" s="86">
        <f t="shared" si="21"/>
        <v>0</v>
      </c>
      <c r="AF34" s="88"/>
      <c r="AG34" s="88"/>
      <c r="AH34" s="88"/>
    </row>
    <row r="35" spans="1:34" ht="14.25" customHeight="1" x14ac:dyDescent="0.2">
      <c r="A35" s="172" t="s">
        <v>58</v>
      </c>
      <c r="B35" s="162">
        <v>100</v>
      </c>
      <c r="C35" s="173">
        <v>7</v>
      </c>
      <c r="D35" s="174" t="s">
        <v>61</v>
      </c>
      <c r="E35" s="175">
        <v>3</v>
      </c>
      <c r="F35" s="175">
        <v>5</v>
      </c>
      <c r="G35" s="176">
        <v>125.25</v>
      </c>
      <c r="H35" s="191">
        <v>15.88</v>
      </c>
      <c r="I35" s="200">
        <v>7.33</v>
      </c>
      <c r="J35" s="200">
        <v>2</v>
      </c>
      <c r="K35" s="72">
        <f t="shared" si="22"/>
        <v>2418756.9931600001</v>
      </c>
      <c r="L35" s="78" t="s">
        <v>54</v>
      </c>
      <c r="M35" s="73"/>
      <c r="N35" s="74">
        <f t="shared" si="23"/>
        <v>2118756.9931600001</v>
      </c>
      <c r="O35" s="74">
        <f t="shared" si="24"/>
        <v>2500994.7309274403</v>
      </c>
      <c r="P35" s="75">
        <f t="shared" si="25"/>
        <v>382237.73776744027</v>
      </c>
      <c r="Q35" s="75">
        <f t="shared" si="26"/>
        <v>2118756.9931600001</v>
      </c>
      <c r="R35" s="257" t="s">
        <v>125</v>
      </c>
      <c r="S35" s="209">
        <v>170171</v>
      </c>
      <c r="T35" s="85">
        <v>147</v>
      </c>
      <c r="U35" s="86"/>
      <c r="V35" s="30">
        <f t="shared" si="2"/>
        <v>4.7640000000000002</v>
      </c>
      <c r="W35" s="30">
        <f t="shared" si="18"/>
        <v>0</v>
      </c>
      <c r="X35" s="30">
        <f t="shared" si="3"/>
        <v>0</v>
      </c>
      <c r="Y35" s="30">
        <f t="shared" si="19"/>
        <v>136.946</v>
      </c>
      <c r="Z35" s="30">
        <f t="shared" si="16"/>
        <v>125</v>
      </c>
      <c r="AA35" s="30">
        <f t="shared" si="17"/>
        <v>3.7499999999999999E-2</v>
      </c>
      <c r="AB35" s="30">
        <f t="shared" si="10"/>
        <v>136.9085</v>
      </c>
      <c r="AC35" s="95">
        <f t="shared" si="20"/>
        <v>2418756.9931600001</v>
      </c>
      <c r="AD35" s="86">
        <f t="shared" si="21"/>
        <v>0</v>
      </c>
    </row>
    <row r="36" spans="1:34" ht="14.25" customHeight="1" x14ac:dyDescent="0.2">
      <c r="A36" s="177" t="s">
        <v>58</v>
      </c>
      <c r="B36" s="162">
        <v>100</v>
      </c>
      <c r="C36" s="178">
        <v>8</v>
      </c>
      <c r="D36" s="179" t="s">
        <v>62</v>
      </c>
      <c r="E36" s="180">
        <v>3</v>
      </c>
      <c r="F36" s="180">
        <v>3</v>
      </c>
      <c r="G36" s="181">
        <v>80.88</v>
      </c>
      <c r="H36" s="192">
        <v>10.07</v>
      </c>
      <c r="I36" s="200">
        <v>7.3</v>
      </c>
      <c r="J36" s="200">
        <v>2</v>
      </c>
      <c r="K36" s="72">
        <f t="shared" si="22"/>
        <v>1604530.97416</v>
      </c>
      <c r="L36" s="78" t="s">
        <v>54</v>
      </c>
      <c r="M36" s="73"/>
      <c r="N36" s="74">
        <f t="shared" si="23"/>
        <v>1304530.97416</v>
      </c>
      <c r="O36" s="74">
        <f t="shared" si="24"/>
        <v>1659085.0272814401</v>
      </c>
      <c r="P36" s="75">
        <f t="shared" si="25"/>
        <v>354554.05312144011</v>
      </c>
      <c r="Q36" s="75">
        <f t="shared" si="26"/>
        <v>1304530.97416</v>
      </c>
      <c r="R36" s="257" t="s">
        <v>123</v>
      </c>
      <c r="S36" s="208">
        <v>178179</v>
      </c>
      <c r="T36" s="85">
        <v>150</v>
      </c>
      <c r="V36" s="30">
        <f t="shared" si="2"/>
        <v>3.0209999999999999</v>
      </c>
      <c r="W36" s="30">
        <f t="shared" si="18"/>
        <v>0</v>
      </c>
      <c r="X36" s="30">
        <f t="shared" si="3"/>
        <v>0</v>
      </c>
      <c r="Y36" s="30">
        <f t="shared" si="19"/>
        <v>90.820999999999998</v>
      </c>
      <c r="Z36" s="30">
        <f t="shared" si="16"/>
        <v>90</v>
      </c>
      <c r="AA36" s="30">
        <f t="shared" si="17"/>
        <v>0</v>
      </c>
      <c r="AB36" s="30">
        <f t="shared" si="10"/>
        <v>90.820999999999998</v>
      </c>
      <c r="AC36" s="95">
        <f t="shared" si="20"/>
        <v>1604530.97416</v>
      </c>
      <c r="AD36" s="86">
        <f t="shared" si="21"/>
        <v>0</v>
      </c>
      <c r="AF36" s="88"/>
      <c r="AG36" s="88"/>
      <c r="AH36" s="88"/>
    </row>
    <row r="37" spans="1:34" ht="14.25" customHeight="1" x14ac:dyDescent="0.2">
      <c r="A37" s="172" t="s">
        <v>58</v>
      </c>
      <c r="B37" s="162">
        <v>100</v>
      </c>
      <c r="C37" s="173">
        <v>9</v>
      </c>
      <c r="D37" s="174" t="s">
        <v>61</v>
      </c>
      <c r="E37" s="182">
        <v>4</v>
      </c>
      <c r="F37" s="182">
        <v>5</v>
      </c>
      <c r="G37" s="183">
        <v>125.25</v>
      </c>
      <c r="H37" s="193">
        <v>15.88</v>
      </c>
      <c r="I37" s="200">
        <v>7.33</v>
      </c>
      <c r="J37" s="200">
        <v>2</v>
      </c>
      <c r="K37" s="72">
        <f t="shared" si="22"/>
        <v>2418756.9931600001</v>
      </c>
      <c r="L37" s="78" t="s">
        <v>54</v>
      </c>
      <c r="M37" s="73"/>
      <c r="N37" s="74">
        <f t="shared" si="23"/>
        <v>2118756.9931600001</v>
      </c>
      <c r="O37" s="74">
        <f t="shared" si="24"/>
        <v>2500994.7309274403</v>
      </c>
      <c r="P37" s="75">
        <f t="shared" si="25"/>
        <v>382237.73776744027</v>
      </c>
      <c r="Q37" s="75">
        <f t="shared" si="26"/>
        <v>2118756.9931600001</v>
      </c>
      <c r="R37" s="257" t="s">
        <v>125</v>
      </c>
      <c r="S37" s="209">
        <v>168169</v>
      </c>
      <c r="T37" s="85">
        <v>149</v>
      </c>
      <c r="U37" s="86">
        <f>P37-500000</f>
        <v>-117762.26223255973</v>
      </c>
      <c r="V37" s="30">
        <f t="shared" si="2"/>
        <v>4.7640000000000002</v>
      </c>
      <c r="W37" s="30">
        <f t="shared" si="18"/>
        <v>0</v>
      </c>
      <c r="X37" s="30">
        <f t="shared" si="3"/>
        <v>0</v>
      </c>
      <c r="Y37" s="30">
        <f t="shared" si="19"/>
        <v>136.946</v>
      </c>
      <c r="Z37" s="30">
        <f t="shared" si="16"/>
        <v>125</v>
      </c>
      <c r="AA37" s="30">
        <f t="shared" si="17"/>
        <v>3.7499999999999999E-2</v>
      </c>
      <c r="AB37" s="30">
        <f t="shared" si="10"/>
        <v>136.9085</v>
      </c>
      <c r="AC37" s="95">
        <f t="shared" si="20"/>
        <v>2418756.9931600001</v>
      </c>
      <c r="AD37" s="86">
        <f t="shared" si="21"/>
        <v>0</v>
      </c>
    </row>
    <row r="38" spans="1:34" ht="14.25" customHeight="1" x14ac:dyDescent="0.2">
      <c r="A38" s="177" t="s">
        <v>58</v>
      </c>
      <c r="B38" s="162">
        <v>100</v>
      </c>
      <c r="C38" s="178">
        <v>10</v>
      </c>
      <c r="D38" s="179" t="s">
        <v>62</v>
      </c>
      <c r="E38" s="2">
        <v>4</v>
      </c>
      <c r="F38" s="2">
        <v>3</v>
      </c>
      <c r="G38" s="14">
        <v>80.88</v>
      </c>
      <c r="H38" s="194">
        <v>10.07</v>
      </c>
      <c r="I38" s="200">
        <v>7.3</v>
      </c>
      <c r="J38" s="200">
        <v>2</v>
      </c>
      <c r="K38" s="72">
        <f t="shared" si="22"/>
        <v>1604530.97416</v>
      </c>
      <c r="L38" s="78" t="s">
        <v>54</v>
      </c>
      <c r="M38" s="73"/>
      <c r="N38" s="74">
        <f t="shared" si="23"/>
        <v>1304530.97416</v>
      </c>
      <c r="O38" s="74">
        <f t="shared" si="24"/>
        <v>1659085.0272814401</v>
      </c>
      <c r="P38" s="75">
        <f t="shared" si="25"/>
        <v>354554.05312144011</v>
      </c>
      <c r="Q38" s="75">
        <f t="shared" si="26"/>
        <v>1304530.97416</v>
      </c>
      <c r="R38" s="257" t="s">
        <v>123</v>
      </c>
      <c r="S38" s="208">
        <v>176177</v>
      </c>
      <c r="T38" s="85">
        <v>148</v>
      </c>
      <c r="V38" s="30">
        <f t="shared" si="2"/>
        <v>3.0209999999999999</v>
      </c>
      <c r="W38" s="30">
        <f t="shared" si="18"/>
        <v>0</v>
      </c>
      <c r="X38" s="30">
        <f t="shared" si="3"/>
        <v>0</v>
      </c>
      <c r="Y38" s="30">
        <f t="shared" si="19"/>
        <v>90.820999999999998</v>
      </c>
      <c r="Z38" s="30">
        <f t="shared" si="16"/>
        <v>90</v>
      </c>
      <c r="AA38" s="30">
        <f t="shared" si="17"/>
        <v>0</v>
      </c>
      <c r="AB38" s="30">
        <f t="shared" si="10"/>
        <v>90.820999999999998</v>
      </c>
      <c r="AF38" s="88"/>
      <c r="AG38" s="88"/>
      <c r="AH38" s="88"/>
    </row>
    <row r="39" spans="1:34" s="88" customFormat="1" ht="14.25" hidden="1" customHeight="1" x14ac:dyDescent="0.2">
      <c r="A39" s="104" t="s">
        <v>58</v>
      </c>
      <c r="B39" s="78">
        <v>100</v>
      </c>
      <c r="C39" s="105">
        <v>11</v>
      </c>
      <c r="D39" s="106" t="s">
        <v>61</v>
      </c>
      <c r="E39" s="111">
        <v>5</v>
      </c>
      <c r="F39" s="111">
        <v>5</v>
      </c>
      <c r="G39" s="112">
        <v>125.25</v>
      </c>
      <c r="H39" s="113">
        <v>15.88</v>
      </c>
      <c r="I39" s="71">
        <v>7.33</v>
      </c>
      <c r="J39" s="71">
        <v>2</v>
      </c>
      <c r="K39" s="72"/>
      <c r="L39" s="78" t="s">
        <v>50</v>
      </c>
      <c r="M39" s="84"/>
      <c r="N39" s="74"/>
      <c r="O39" s="74"/>
      <c r="P39" s="75"/>
      <c r="Q39" s="75"/>
      <c r="R39" s="257" t="s">
        <v>125</v>
      </c>
      <c r="S39" s="208">
        <v>219220</v>
      </c>
      <c r="T39" s="85">
        <v>151</v>
      </c>
      <c r="U39" s="86">
        <f>P39-500000</f>
        <v>-500000</v>
      </c>
      <c r="V39" s="30">
        <f t="shared" si="2"/>
        <v>4.7640000000000002</v>
      </c>
      <c r="W39" s="30">
        <f t="shared" si="18"/>
        <v>0</v>
      </c>
      <c r="X39" s="30">
        <f t="shared" si="3"/>
        <v>0</v>
      </c>
      <c r="Y39" s="30">
        <f t="shared" si="19"/>
        <v>136.946</v>
      </c>
      <c r="Z39" s="30">
        <f t="shared" si="16"/>
        <v>125</v>
      </c>
      <c r="AA39" s="30">
        <f t="shared" si="17"/>
        <v>3.7499999999999999E-2</v>
      </c>
      <c r="AB39" s="30">
        <f t="shared" si="10"/>
        <v>136.9085</v>
      </c>
    </row>
    <row r="40" spans="1:34" ht="14.25" customHeight="1" x14ac:dyDescent="0.2">
      <c r="A40" s="177" t="s">
        <v>58</v>
      </c>
      <c r="B40" s="162">
        <v>100</v>
      </c>
      <c r="C40" s="178">
        <v>12</v>
      </c>
      <c r="D40" s="179" t="s">
        <v>62</v>
      </c>
      <c r="E40" s="2">
        <v>5</v>
      </c>
      <c r="F40" s="2">
        <v>3</v>
      </c>
      <c r="G40" s="14">
        <v>80.88</v>
      </c>
      <c r="H40" s="194">
        <v>10.07</v>
      </c>
      <c r="I40" s="200">
        <v>7.3</v>
      </c>
      <c r="J40" s="200">
        <v>2</v>
      </c>
      <c r="K40" s="72">
        <f t="shared" si="22"/>
        <v>1604530.97416</v>
      </c>
      <c r="L40" s="78" t="s">
        <v>54</v>
      </c>
      <c r="M40" s="84"/>
      <c r="N40" s="74">
        <f>IF(K40*$N$11&lt;(K40-$N$10),K40-$N$10,K40*$N$11)</f>
        <v>1304530.97416</v>
      </c>
      <c r="O40" s="74">
        <f>K40*$O$11</f>
        <v>1659085.0272814401</v>
      </c>
      <c r="P40" s="75">
        <f t="shared" si="25"/>
        <v>354554.05312144011</v>
      </c>
      <c r="Q40" s="75">
        <f t="shared" si="26"/>
        <v>1304530.97416</v>
      </c>
      <c r="R40" s="257" t="s">
        <v>123</v>
      </c>
      <c r="S40" s="208">
        <v>174175</v>
      </c>
      <c r="T40" s="85">
        <v>146</v>
      </c>
      <c r="V40" s="30">
        <f t="shared" si="2"/>
        <v>3.0209999999999999</v>
      </c>
      <c r="W40" s="30">
        <f t="shared" si="18"/>
        <v>0</v>
      </c>
      <c r="X40" s="30">
        <f t="shared" si="3"/>
        <v>0</v>
      </c>
      <c r="Y40" s="30">
        <f t="shared" si="19"/>
        <v>90.820999999999998</v>
      </c>
      <c r="Z40" s="30">
        <f t="shared" si="16"/>
        <v>90</v>
      </c>
      <c r="AA40" s="30">
        <f t="shared" si="17"/>
        <v>0</v>
      </c>
      <c r="AB40" s="30">
        <f t="shared" si="10"/>
        <v>90.820999999999998</v>
      </c>
      <c r="AC40" s="95">
        <f>AB40*$O$9</f>
        <v>1604530.97416</v>
      </c>
      <c r="AD40" s="86">
        <f>AC40-K40</f>
        <v>0</v>
      </c>
      <c r="AF40" s="88"/>
      <c r="AG40" s="88"/>
      <c r="AH40" s="88"/>
    </row>
    <row r="41" spans="1:34" ht="14.25" hidden="1" customHeight="1" x14ac:dyDescent="0.2">
      <c r="A41" s="104" t="s">
        <v>58</v>
      </c>
      <c r="B41" s="78">
        <v>100</v>
      </c>
      <c r="C41" s="105">
        <v>13</v>
      </c>
      <c r="D41" s="106" t="s">
        <v>61</v>
      </c>
      <c r="E41" s="107">
        <v>6</v>
      </c>
      <c r="F41" s="107">
        <v>5</v>
      </c>
      <c r="G41" s="108">
        <v>125.25</v>
      </c>
      <c r="H41" s="109">
        <v>15.88</v>
      </c>
      <c r="I41" s="71">
        <v>7.33</v>
      </c>
      <c r="J41" s="71">
        <v>2</v>
      </c>
      <c r="K41" s="72"/>
      <c r="L41" s="78" t="s">
        <v>50</v>
      </c>
      <c r="M41" s="84"/>
      <c r="N41" s="74"/>
      <c r="O41" s="74"/>
      <c r="P41" s="75"/>
      <c r="Q41" s="75"/>
      <c r="R41" s="257" t="s">
        <v>125</v>
      </c>
      <c r="S41" s="208">
        <v>221222</v>
      </c>
      <c r="T41" s="85">
        <v>153</v>
      </c>
      <c r="U41" s="86">
        <f>P41-500000</f>
        <v>-500000</v>
      </c>
      <c r="V41" s="30">
        <f t="shared" si="2"/>
        <v>4.7640000000000002</v>
      </c>
      <c r="W41" s="30">
        <f t="shared" si="18"/>
        <v>0</v>
      </c>
      <c r="X41" s="30">
        <f t="shared" si="3"/>
        <v>0</v>
      </c>
      <c r="Y41" s="30">
        <f t="shared" si="19"/>
        <v>136.946</v>
      </c>
      <c r="Z41" s="30">
        <f t="shared" si="16"/>
        <v>125</v>
      </c>
      <c r="AA41" s="30">
        <f t="shared" si="17"/>
        <v>3.7499999999999999E-2</v>
      </c>
      <c r="AB41" s="30">
        <f t="shared" si="10"/>
        <v>136.9085</v>
      </c>
    </row>
    <row r="42" spans="1:34" ht="14.25" hidden="1" customHeight="1" x14ac:dyDescent="0.2">
      <c r="A42" s="89" t="s">
        <v>58</v>
      </c>
      <c r="B42" s="78">
        <v>100</v>
      </c>
      <c r="C42" s="90">
        <v>14</v>
      </c>
      <c r="D42" s="91" t="s">
        <v>62</v>
      </c>
      <c r="E42" s="92">
        <v>6</v>
      </c>
      <c r="F42" s="92">
        <v>3</v>
      </c>
      <c r="G42" s="93">
        <v>80.88</v>
      </c>
      <c r="H42" s="94">
        <v>10.07</v>
      </c>
      <c r="I42" s="71">
        <v>7.3</v>
      </c>
      <c r="J42" s="71">
        <v>2</v>
      </c>
      <c r="K42" s="72"/>
      <c r="L42" s="78" t="s">
        <v>50</v>
      </c>
      <c r="M42" s="84"/>
      <c r="N42" s="74"/>
      <c r="O42" s="74"/>
      <c r="P42" s="75"/>
      <c r="Q42" s="75"/>
      <c r="R42" s="257" t="s">
        <v>123</v>
      </c>
      <c r="S42" s="208">
        <v>215216</v>
      </c>
      <c r="T42" s="85">
        <v>144</v>
      </c>
      <c r="V42" s="30">
        <f t="shared" si="2"/>
        <v>3.0209999999999999</v>
      </c>
      <c r="W42" s="30">
        <f t="shared" si="18"/>
        <v>0</v>
      </c>
      <c r="X42" s="30">
        <f t="shared" si="3"/>
        <v>0</v>
      </c>
      <c r="Y42" s="30">
        <f t="shared" si="19"/>
        <v>90.820999999999998</v>
      </c>
      <c r="Z42" s="30">
        <f t="shared" si="16"/>
        <v>90</v>
      </c>
      <c r="AA42" s="30">
        <f t="shared" si="17"/>
        <v>0</v>
      </c>
      <c r="AB42" s="30">
        <f t="shared" si="10"/>
        <v>90.820999999999998</v>
      </c>
    </row>
    <row r="43" spans="1:34" ht="14.25" hidden="1" customHeight="1" thickBot="1" x14ac:dyDescent="0.2">
      <c r="A43" s="114" t="s">
        <v>58</v>
      </c>
      <c r="B43" s="78">
        <v>100</v>
      </c>
      <c r="C43" s="115">
        <v>15</v>
      </c>
      <c r="D43" s="116" t="s">
        <v>63</v>
      </c>
      <c r="E43" s="117">
        <v>7</v>
      </c>
      <c r="F43" s="117">
        <v>5</v>
      </c>
      <c r="G43" s="118">
        <v>142.97999999999999</v>
      </c>
      <c r="H43" s="119">
        <v>105.81</v>
      </c>
      <c r="I43" s="71">
        <v>7.67</v>
      </c>
      <c r="J43" s="71">
        <v>2</v>
      </c>
      <c r="K43" s="72"/>
      <c r="L43" s="78" t="s">
        <v>50</v>
      </c>
      <c r="M43" s="84"/>
      <c r="N43" s="74"/>
      <c r="O43" s="74"/>
      <c r="P43" s="75"/>
      <c r="Q43" s="75"/>
      <c r="R43" s="257" t="s">
        <v>125</v>
      </c>
      <c r="S43" s="207" t="s">
        <v>102</v>
      </c>
      <c r="T43" s="85">
        <v>43</v>
      </c>
      <c r="U43" s="86">
        <f>P43-500000</f>
        <v>-500000</v>
      </c>
      <c r="V43" s="30">
        <f t="shared" si="2"/>
        <v>9</v>
      </c>
      <c r="W43" s="87">
        <v>6</v>
      </c>
      <c r="X43" s="30">
        <f t="shared" si="3"/>
        <v>4.5810000000000004</v>
      </c>
      <c r="Y43" s="30">
        <f>W43+V43+G43+I43*$I$11+X43+J43*$J$11</f>
        <v>169.62899999999999</v>
      </c>
      <c r="Z43" s="30">
        <f t="shared" si="16"/>
        <v>125</v>
      </c>
      <c r="AA43" s="30">
        <f t="shared" si="17"/>
        <v>2.6969999999999983</v>
      </c>
      <c r="AB43" s="30">
        <f t="shared" si="10"/>
        <v>166.93199999999999</v>
      </c>
    </row>
    <row r="44" spans="1:34" ht="14.25" hidden="1" customHeight="1" thickBot="1" x14ac:dyDescent="0.3">
      <c r="A44" s="274" t="s">
        <v>56</v>
      </c>
      <c r="B44" s="275"/>
      <c r="C44" s="276"/>
      <c r="D44" s="276"/>
      <c r="E44" s="276"/>
      <c r="F44" s="276"/>
      <c r="G44" s="98">
        <f>SUMIF(L29:L43,"כן",G29:G43)/COUNT(C29:C43)</f>
        <v>46.618000000000002</v>
      </c>
      <c r="H44" s="99"/>
      <c r="I44" s="100" t="s">
        <v>57</v>
      </c>
      <c r="J44" s="99"/>
      <c r="K44" s="101">
        <f>COUNTIF(L29:L43,"כן")/COUNT(C29:C43)</f>
        <v>0.46666666666666667</v>
      </c>
      <c r="L44" s="101">
        <v>0.46666666666666667</v>
      </c>
      <c r="M44" s="74">
        <f>J44*0.8</f>
        <v>0</v>
      </c>
      <c r="N44" s="74">
        <f>J44*$N$11</f>
        <v>0</v>
      </c>
      <c r="O44" s="75">
        <f t="shared" ref="O44" si="27">N44-M44</f>
        <v>0</v>
      </c>
      <c r="P44" s="75">
        <f t="shared" ref="P44" si="28">M44+T44</f>
        <v>0</v>
      </c>
      <c r="Q44" s="102"/>
      <c r="R44" s="120"/>
      <c r="T44" s="86"/>
      <c r="U44" s="86"/>
      <c r="V44" s="30">
        <f t="shared" si="2"/>
        <v>0</v>
      </c>
      <c r="W44" s="30">
        <f>IF(H44&gt;$V$10,(H44-$V$10)*$W$11,0)</f>
        <v>0</v>
      </c>
      <c r="X44" s="30">
        <f t="shared" si="3"/>
        <v>0</v>
      </c>
      <c r="Y44" s="30" t="e">
        <f>W44+V44+G44+I44*$I$11+J44*$J$11</f>
        <v>#VALUE!</v>
      </c>
      <c r="Z44" s="30" t="e">
        <f>VLOOKUP(F44,$AE$3:$AF$11,2,FALSE)</f>
        <v>#N/A</v>
      </c>
      <c r="AA44" s="30" t="e">
        <f t="shared" si="17"/>
        <v>#N/A</v>
      </c>
      <c r="AB44" s="30" t="e">
        <f t="shared" si="10"/>
        <v>#VALUE!</v>
      </c>
    </row>
    <row r="45" spans="1:34" ht="15" hidden="1" customHeight="1" x14ac:dyDescent="0.25">
      <c r="A45" s="114" t="s">
        <v>64</v>
      </c>
      <c r="B45" s="65">
        <v>100</v>
      </c>
      <c r="C45" s="115">
        <v>1</v>
      </c>
      <c r="D45" s="116" t="s">
        <v>65</v>
      </c>
      <c r="E45" s="117" t="s">
        <v>49</v>
      </c>
      <c r="F45" s="117">
        <v>5</v>
      </c>
      <c r="G45" s="118">
        <v>125.4</v>
      </c>
      <c r="H45" s="119">
        <v>112</v>
      </c>
      <c r="I45" s="71">
        <v>5.81</v>
      </c>
      <c r="J45" s="71">
        <v>2</v>
      </c>
      <c r="K45" s="72"/>
      <c r="L45" s="121" t="s">
        <v>50</v>
      </c>
      <c r="M45" s="122"/>
      <c r="N45" s="123"/>
      <c r="O45" s="123"/>
      <c r="P45" s="75"/>
      <c r="Q45" s="75"/>
      <c r="R45" s="257" t="s">
        <v>126</v>
      </c>
      <c r="S45" s="207" t="s">
        <v>118</v>
      </c>
      <c r="T45" s="85">
        <v>110</v>
      </c>
      <c r="U45" s="86">
        <f>P45-500000</f>
        <v>-500000</v>
      </c>
      <c r="V45" s="30">
        <f t="shared" ref="V45:V76" si="29">IF(H45&gt;$V$10,$V$10*$V$11,H45*$V$11)</f>
        <v>9</v>
      </c>
      <c r="W45" s="87">
        <v>6</v>
      </c>
      <c r="X45" s="30">
        <f t="shared" ref="X45:X76" si="30">IF(AND(H45&gt;$X$10,H45&lt;$X$8),(H45-$X$10)*$X$11,IF(H45&gt;$X$8,($X$8-$X$10)*$X$11,0))</f>
        <v>5.2</v>
      </c>
      <c r="Y45" s="30">
        <f>W45+V45+G45+I45*$I$11+X45+J45*$J$11</f>
        <v>151.92400000000001</v>
      </c>
      <c r="Z45" s="30">
        <f t="shared" ref="Z45:Z72" si="31">VLOOKUP(F45,$AC$3:$AD$11,2,FALSE)</f>
        <v>125</v>
      </c>
      <c r="AA45" s="30">
        <f t="shared" si="17"/>
        <v>6.0000000000000851E-2</v>
      </c>
      <c r="AB45" s="30">
        <f t="shared" si="10"/>
        <v>151.864</v>
      </c>
    </row>
    <row r="46" spans="1:34" ht="15.75" hidden="1" customHeight="1" thickBot="1" x14ac:dyDescent="0.3">
      <c r="A46" s="77" t="s">
        <v>64</v>
      </c>
      <c r="B46" s="78">
        <v>100</v>
      </c>
      <c r="C46" s="79">
        <v>2</v>
      </c>
      <c r="D46" s="80" t="s">
        <v>66</v>
      </c>
      <c r="E46" s="81" t="s">
        <v>49</v>
      </c>
      <c r="F46" s="81">
        <v>5</v>
      </c>
      <c r="G46" s="82">
        <v>125.02</v>
      </c>
      <c r="H46" s="83">
        <v>118.62</v>
      </c>
      <c r="I46" s="71">
        <v>4.01</v>
      </c>
      <c r="J46" s="71">
        <v>2</v>
      </c>
      <c r="K46" s="72"/>
      <c r="L46" s="124" t="s">
        <v>50</v>
      </c>
      <c r="M46" s="125"/>
      <c r="N46" s="123"/>
      <c r="O46" s="123"/>
      <c r="P46" s="75"/>
      <c r="Q46" s="75"/>
      <c r="R46" s="258" t="s">
        <v>127</v>
      </c>
      <c r="S46" s="207" t="s">
        <v>119</v>
      </c>
      <c r="T46" s="85">
        <v>109</v>
      </c>
      <c r="U46" s="86">
        <f>P46-500000</f>
        <v>-500000</v>
      </c>
      <c r="V46" s="30">
        <f t="shared" si="29"/>
        <v>9</v>
      </c>
      <c r="W46" s="87">
        <v>6</v>
      </c>
      <c r="X46" s="30">
        <f t="shared" si="30"/>
        <v>5.862000000000001</v>
      </c>
      <c r="Y46" s="30">
        <f>W46+V46+G46+I46*$I$11+X46+J46*$J$11</f>
        <v>151.48599999999999</v>
      </c>
      <c r="Z46" s="30">
        <f t="shared" si="31"/>
        <v>125</v>
      </c>
      <c r="AA46" s="30">
        <f t="shared" si="17"/>
        <v>2.9999999999994029E-3</v>
      </c>
      <c r="AB46" s="30">
        <f t="shared" si="10"/>
        <v>151.483</v>
      </c>
    </row>
    <row r="47" spans="1:34" ht="15" hidden="1" customHeight="1" x14ac:dyDescent="0.25">
      <c r="A47" s="104" t="s">
        <v>64</v>
      </c>
      <c r="B47" s="78">
        <v>100</v>
      </c>
      <c r="C47" s="105">
        <v>3</v>
      </c>
      <c r="D47" s="106" t="s">
        <v>67</v>
      </c>
      <c r="E47" s="106">
        <v>1</v>
      </c>
      <c r="F47" s="106">
        <v>5</v>
      </c>
      <c r="G47" s="108">
        <v>124.99</v>
      </c>
      <c r="H47" s="109">
        <v>13.13</v>
      </c>
      <c r="I47" s="71">
        <v>5.81</v>
      </c>
      <c r="J47" s="71">
        <v>1</v>
      </c>
      <c r="K47" s="72"/>
      <c r="L47" s="124" t="s">
        <v>50</v>
      </c>
      <c r="M47" s="125"/>
      <c r="N47" s="123"/>
      <c r="O47" s="123"/>
      <c r="P47" s="75"/>
      <c r="Q47" s="75"/>
      <c r="R47" s="257" t="s">
        <v>126</v>
      </c>
      <c r="S47" s="207">
        <v>60</v>
      </c>
      <c r="T47" s="85">
        <v>113</v>
      </c>
      <c r="U47" s="86"/>
      <c r="V47" s="30">
        <f t="shared" si="29"/>
        <v>3.9390000000000001</v>
      </c>
      <c r="W47" s="30">
        <f t="shared" ref="W47:W70" si="32">IF(H47&gt;$V$10,(H47-$V$10)*$W$11,0)</f>
        <v>0</v>
      </c>
      <c r="X47" s="30">
        <f t="shared" si="30"/>
        <v>0</v>
      </c>
      <c r="Y47" s="30">
        <f t="shared" ref="Y47:Y70" si="33">W47+V47+G47+I47*$I$11+J47*$J$11</f>
        <v>133.25300000000001</v>
      </c>
      <c r="Z47" s="30">
        <f t="shared" si="31"/>
        <v>125</v>
      </c>
      <c r="AA47" s="30">
        <f t="shared" si="17"/>
        <v>0</v>
      </c>
      <c r="AB47" s="30">
        <f t="shared" si="10"/>
        <v>133.25300000000001</v>
      </c>
      <c r="AC47" s="95">
        <f t="shared" ref="AC47:AC59" si="34">AB47*$O$9</f>
        <v>2354175.4208800001</v>
      </c>
      <c r="AD47" s="86">
        <f t="shared" ref="AD47:AD59" si="35">AC47-K47</f>
        <v>2354175.4208800001</v>
      </c>
    </row>
    <row r="48" spans="1:34" ht="15" hidden="1" x14ac:dyDescent="0.25">
      <c r="A48" s="89" t="s">
        <v>64</v>
      </c>
      <c r="B48" s="78">
        <v>100</v>
      </c>
      <c r="C48" s="90">
        <v>4</v>
      </c>
      <c r="D48" s="91" t="s">
        <v>68</v>
      </c>
      <c r="E48" s="92">
        <v>1</v>
      </c>
      <c r="F48" s="92">
        <v>5</v>
      </c>
      <c r="G48" s="93">
        <v>124.6</v>
      </c>
      <c r="H48" s="94">
        <v>13.13</v>
      </c>
      <c r="I48" s="71">
        <v>4.01</v>
      </c>
      <c r="J48" s="71">
        <v>1</v>
      </c>
      <c r="K48" s="72"/>
      <c r="L48" s="124" t="s">
        <v>50</v>
      </c>
      <c r="M48" s="125"/>
      <c r="N48" s="123"/>
      <c r="O48" s="123"/>
      <c r="P48" s="75"/>
      <c r="Q48" s="75"/>
      <c r="R48" s="257" t="s">
        <v>127</v>
      </c>
      <c r="S48" s="207">
        <v>61</v>
      </c>
      <c r="T48" s="85">
        <v>112</v>
      </c>
      <c r="U48" s="86"/>
      <c r="V48" s="30">
        <f t="shared" si="29"/>
        <v>3.9390000000000001</v>
      </c>
      <c r="W48" s="30">
        <f t="shared" si="32"/>
        <v>0</v>
      </c>
      <c r="X48" s="30">
        <f t="shared" si="30"/>
        <v>0</v>
      </c>
      <c r="Y48" s="30">
        <f t="shared" si="33"/>
        <v>132.143</v>
      </c>
      <c r="Z48" s="30">
        <f t="shared" si="31"/>
        <v>125</v>
      </c>
      <c r="AA48" s="30">
        <f t="shared" si="17"/>
        <v>0</v>
      </c>
      <c r="AB48" s="30">
        <f t="shared" si="10"/>
        <v>132.143</v>
      </c>
      <c r="AC48" s="95">
        <f t="shared" si="34"/>
        <v>2334565.09528</v>
      </c>
      <c r="AD48" s="86">
        <f t="shared" si="35"/>
        <v>2334565.09528</v>
      </c>
    </row>
    <row r="49" spans="1:30" ht="15" x14ac:dyDescent="0.25">
      <c r="A49" s="161" t="s">
        <v>64</v>
      </c>
      <c r="B49" s="162">
        <v>100</v>
      </c>
      <c r="C49" s="163">
        <v>5</v>
      </c>
      <c r="D49" s="164" t="s">
        <v>69</v>
      </c>
      <c r="E49" s="165">
        <v>1</v>
      </c>
      <c r="F49" s="165">
        <v>4</v>
      </c>
      <c r="G49" s="166">
        <v>101.65</v>
      </c>
      <c r="H49" s="189">
        <v>13.69</v>
      </c>
      <c r="I49" s="200">
        <v>4.91</v>
      </c>
      <c r="J49" s="200">
        <v>1</v>
      </c>
      <c r="K49" s="72">
        <f t="shared" ref="K49:K69" si="36">AB49*$O$9</f>
        <v>1938436.51816</v>
      </c>
      <c r="L49" s="124" t="s">
        <v>54</v>
      </c>
      <c r="M49" s="125"/>
      <c r="N49" s="123">
        <f>IF(K49*$N$11&lt;(K49-$N$10),K49-$N$10,K49*$N$11)</f>
        <v>1638436.51816</v>
      </c>
      <c r="O49" s="123">
        <f>K49*$O$11</f>
        <v>2004343.3597774401</v>
      </c>
      <c r="P49" s="75">
        <f t="shared" ref="P49:P69" si="37">O49-N49</f>
        <v>365906.84161744011</v>
      </c>
      <c r="Q49" s="75">
        <f t="shared" ref="Q49:Q69" si="38">IF(P49&gt;$Q$11,(P49-$Q$11+N49),N49)</f>
        <v>1638436.51816</v>
      </c>
      <c r="R49" s="257" t="s">
        <v>128</v>
      </c>
      <c r="S49" s="203">
        <v>104</v>
      </c>
      <c r="T49" s="85">
        <v>111</v>
      </c>
      <c r="V49" s="30">
        <f t="shared" si="29"/>
        <v>4.1069999999999993</v>
      </c>
      <c r="W49" s="30">
        <f t="shared" si="32"/>
        <v>0</v>
      </c>
      <c r="X49" s="30">
        <f t="shared" si="30"/>
        <v>0</v>
      </c>
      <c r="Y49" s="30">
        <f t="shared" si="33"/>
        <v>109.721</v>
      </c>
      <c r="Z49" s="30">
        <f t="shared" si="31"/>
        <v>110</v>
      </c>
      <c r="AA49" s="30">
        <f t="shared" si="17"/>
        <v>0</v>
      </c>
      <c r="AB49" s="30">
        <f t="shared" si="10"/>
        <v>109.721</v>
      </c>
      <c r="AC49" s="95">
        <f t="shared" si="34"/>
        <v>1938436.51816</v>
      </c>
      <c r="AD49" s="86">
        <f t="shared" si="35"/>
        <v>0</v>
      </c>
    </row>
    <row r="50" spans="1:30" ht="15.75" customHeight="1" thickBot="1" x14ac:dyDescent="0.3">
      <c r="A50" s="167" t="s">
        <v>64</v>
      </c>
      <c r="B50" s="162">
        <v>100</v>
      </c>
      <c r="C50" s="168">
        <v>6</v>
      </c>
      <c r="D50" s="170" t="s">
        <v>70</v>
      </c>
      <c r="E50" s="184">
        <v>1</v>
      </c>
      <c r="F50" s="184">
        <v>3</v>
      </c>
      <c r="G50" s="171">
        <v>83.1</v>
      </c>
      <c r="H50" s="190">
        <v>10.52</v>
      </c>
      <c r="I50" s="200">
        <v>5.78</v>
      </c>
      <c r="J50" s="200">
        <v>1</v>
      </c>
      <c r="K50" s="72">
        <f t="shared" si="36"/>
        <v>1600061.2332799998</v>
      </c>
      <c r="L50" s="124" t="s">
        <v>54</v>
      </c>
      <c r="M50" s="125"/>
      <c r="N50" s="123">
        <f>IF(K50*$N$11&lt;(K50-$N$10),K50-$N$10,K50*$N$11)</f>
        <v>1300061.2332799998</v>
      </c>
      <c r="O50" s="123">
        <f>K50*$O$11</f>
        <v>1654463.3152115198</v>
      </c>
      <c r="P50" s="75">
        <f t="shared" si="37"/>
        <v>354402.08193152002</v>
      </c>
      <c r="Q50" s="75">
        <f t="shared" si="38"/>
        <v>1300061.2332799998</v>
      </c>
      <c r="R50" s="258" t="s">
        <v>129</v>
      </c>
      <c r="S50" s="204">
        <v>102</v>
      </c>
      <c r="T50" s="85">
        <v>32</v>
      </c>
      <c r="V50" s="30">
        <f t="shared" si="29"/>
        <v>3.1559999999999997</v>
      </c>
      <c r="W50" s="30">
        <f t="shared" si="32"/>
        <v>0</v>
      </c>
      <c r="X50" s="30">
        <f t="shared" si="30"/>
        <v>0</v>
      </c>
      <c r="Y50" s="30">
        <f t="shared" si="33"/>
        <v>90.567999999999998</v>
      </c>
      <c r="Z50" s="30">
        <f t="shared" si="31"/>
        <v>90</v>
      </c>
      <c r="AA50" s="30">
        <f t="shared" si="17"/>
        <v>0</v>
      </c>
      <c r="AB50" s="30">
        <f t="shared" si="10"/>
        <v>90.567999999999998</v>
      </c>
      <c r="AC50" s="95">
        <f t="shared" si="34"/>
        <v>1600061.2332799998</v>
      </c>
      <c r="AD50" s="86">
        <f t="shared" si="35"/>
        <v>0</v>
      </c>
    </row>
    <row r="51" spans="1:30" ht="15" hidden="1" customHeight="1" x14ac:dyDescent="0.25">
      <c r="A51" s="104" t="s">
        <v>64</v>
      </c>
      <c r="B51" s="78">
        <v>100</v>
      </c>
      <c r="C51" s="105">
        <v>7</v>
      </c>
      <c r="D51" s="106" t="s">
        <v>67</v>
      </c>
      <c r="E51" s="106">
        <v>2</v>
      </c>
      <c r="F51" s="106">
        <v>5</v>
      </c>
      <c r="G51" s="108">
        <v>124.99</v>
      </c>
      <c r="H51" s="109">
        <v>13.13</v>
      </c>
      <c r="I51" s="71">
        <v>5.81</v>
      </c>
      <c r="J51" s="71">
        <v>1</v>
      </c>
      <c r="K51" s="72"/>
      <c r="L51" s="124" t="s">
        <v>50</v>
      </c>
      <c r="M51" s="125"/>
      <c r="N51" s="123"/>
      <c r="O51" s="123"/>
      <c r="P51" s="75"/>
      <c r="Q51" s="75"/>
      <c r="R51" s="257" t="s">
        <v>126</v>
      </c>
      <c r="S51" s="207">
        <v>77</v>
      </c>
      <c r="T51" s="85">
        <v>116</v>
      </c>
      <c r="U51" s="86"/>
      <c r="V51" s="30">
        <f t="shared" si="29"/>
        <v>3.9390000000000001</v>
      </c>
      <c r="W51" s="30">
        <f t="shared" si="32"/>
        <v>0</v>
      </c>
      <c r="X51" s="30">
        <f t="shared" si="30"/>
        <v>0</v>
      </c>
      <c r="Y51" s="30">
        <f t="shared" si="33"/>
        <v>133.25300000000001</v>
      </c>
      <c r="Z51" s="30">
        <f t="shared" si="31"/>
        <v>125</v>
      </c>
      <c r="AA51" s="30">
        <f t="shared" si="17"/>
        <v>0</v>
      </c>
      <c r="AB51" s="30">
        <f t="shared" si="10"/>
        <v>133.25300000000001</v>
      </c>
      <c r="AC51" s="95">
        <f t="shared" si="34"/>
        <v>2354175.4208800001</v>
      </c>
      <c r="AD51" s="86">
        <f t="shared" si="35"/>
        <v>2354175.4208800001</v>
      </c>
    </row>
    <row r="52" spans="1:30" ht="15" customHeight="1" x14ac:dyDescent="0.25">
      <c r="A52" s="177" t="s">
        <v>64</v>
      </c>
      <c r="B52" s="162">
        <v>100</v>
      </c>
      <c r="C52" s="178">
        <v>8</v>
      </c>
      <c r="D52" s="179" t="s">
        <v>68</v>
      </c>
      <c r="E52" s="180">
        <v>2</v>
      </c>
      <c r="F52" s="180">
        <v>5</v>
      </c>
      <c r="G52" s="181">
        <v>124.6</v>
      </c>
      <c r="H52" s="192">
        <v>13.13</v>
      </c>
      <c r="I52" s="200">
        <v>4.01</v>
      </c>
      <c r="J52" s="200">
        <v>1</v>
      </c>
      <c r="K52" s="72">
        <f t="shared" si="36"/>
        <v>2334565.09528</v>
      </c>
      <c r="L52" s="124" t="s">
        <v>54</v>
      </c>
      <c r="M52" s="125"/>
      <c r="N52" s="123">
        <f>IF(K52*$N$11&lt;(K52-$N$10),K52-$N$10,K52*$N$11)</f>
        <v>2034565.09528</v>
      </c>
      <c r="O52" s="123">
        <f>K52*$O$11</f>
        <v>2413940.3085195199</v>
      </c>
      <c r="P52" s="75">
        <f t="shared" si="37"/>
        <v>379375.21323951986</v>
      </c>
      <c r="Q52" s="75">
        <f t="shared" si="38"/>
        <v>2034565.09528</v>
      </c>
      <c r="R52" s="257" t="s">
        <v>127</v>
      </c>
      <c r="S52" s="207">
        <v>106</v>
      </c>
      <c r="T52" s="85">
        <v>115</v>
      </c>
      <c r="U52" s="86"/>
      <c r="V52" s="30">
        <f t="shared" si="29"/>
        <v>3.9390000000000001</v>
      </c>
      <c r="W52" s="30">
        <f t="shared" si="32"/>
        <v>0</v>
      </c>
      <c r="X52" s="30">
        <f t="shared" si="30"/>
        <v>0</v>
      </c>
      <c r="Y52" s="30">
        <f t="shared" si="33"/>
        <v>132.143</v>
      </c>
      <c r="Z52" s="30">
        <f t="shared" si="31"/>
        <v>125</v>
      </c>
      <c r="AA52" s="30">
        <f t="shared" si="17"/>
        <v>0</v>
      </c>
      <c r="AB52" s="30">
        <f t="shared" si="10"/>
        <v>132.143</v>
      </c>
      <c r="AC52" s="95">
        <f t="shared" si="34"/>
        <v>2334565.09528</v>
      </c>
      <c r="AD52" s="86">
        <f t="shared" si="35"/>
        <v>0</v>
      </c>
    </row>
    <row r="53" spans="1:30" ht="15" customHeight="1" x14ac:dyDescent="0.25">
      <c r="A53" s="161" t="s">
        <v>64</v>
      </c>
      <c r="B53" s="162">
        <v>100</v>
      </c>
      <c r="C53" s="163">
        <v>9</v>
      </c>
      <c r="D53" s="164" t="s">
        <v>69</v>
      </c>
      <c r="E53" s="165">
        <v>2</v>
      </c>
      <c r="F53" s="165">
        <v>4</v>
      </c>
      <c r="G53" s="166">
        <v>101.65</v>
      </c>
      <c r="H53" s="189">
        <v>13.69</v>
      </c>
      <c r="I53" s="200">
        <v>4.91</v>
      </c>
      <c r="J53" s="200">
        <v>1</v>
      </c>
      <c r="K53" s="72">
        <f t="shared" si="36"/>
        <v>1938436.51816</v>
      </c>
      <c r="L53" s="124" t="s">
        <v>54</v>
      </c>
      <c r="M53" s="125"/>
      <c r="N53" s="123">
        <f>IF(K53*$N$11&lt;(K53-$N$10),K53-$N$10,K53*$N$11)</f>
        <v>1638436.51816</v>
      </c>
      <c r="O53" s="123">
        <f>K53*$O$11</f>
        <v>2004343.3597774401</v>
      </c>
      <c r="P53" s="75">
        <f t="shared" si="37"/>
        <v>365906.84161744011</v>
      </c>
      <c r="Q53" s="75">
        <f t="shared" si="38"/>
        <v>1638436.51816</v>
      </c>
      <c r="R53" s="257" t="s">
        <v>128</v>
      </c>
      <c r="S53" s="203">
        <v>103</v>
      </c>
      <c r="T53" s="85">
        <v>114</v>
      </c>
      <c r="V53" s="30">
        <f t="shared" si="29"/>
        <v>4.1069999999999993</v>
      </c>
      <c r="W53" s="30">
        <f t="shared" si="32"/>
        <v>0</v>
      </c>
      <c r="X53" s="30">
        <f t="shared" si="30"/>
        <v>0</v>
      </c>
      <c r="Y53" s="30">
        <f t="shared" si="33"/>
        <v>109.721</v>
      </c>
      <c r="Z53" s="30">
        <f t="shared" si="31"/>
        <v>110</v>
      </c>
      <c r="AA53" s="30">
        <f t="shared" si="17"/>
        <v>0</v>
      </c>
      <c r="AB53" s="30">
        <f t="shared" si="10"/>
        <v>109.721</v>
      </c>
      <c r="AC53" s="95">
        <f t="shared" si="34"/>
        <v>1938436.51816</v>
      </c>
      <c r="AD53" s="86">
        <f t="shared" si="35"/>
        <v>0</v>
      </c>
    </row>
    <row r="54" spans="1:30" ht="15.75" customHeight="1" thickBot="1" x14ac:dyDescent="0.3">
      <c r="A54" s="167" t="s">
        <v>64</v>
      </c>
      <c r="B54" s="162">
        <v>100</v>
      </c>
      <c r="C54" s="168">
        <v>10</v>
      </c>
      <c r="D54" s="170" t="s">
        <v>70</v>
      </c>
      <c r="E54" s="184">
        <v>2</v>
      </c>
      <c r="F54" s="184">
        <v>3</v>
      </c>
      <c r="G54" s="171">
        <v>83.1</v>
      </c>
      <c r="H54" s="190">
        <v>10.54</v>
      </c>
      <c r="I54" s="200">
        <v>5.87</v>
      </c>
      <c r="J54" s="200">
        <v>1</v>
      </c>
      <c r="K54" s="72">
        <f t="shared" si="36"/>
        <v>1600803.2456</v>
      </c>
      <c r="L54" s="124" t="s">
        <v>54</v>
      </c>
      <c r="M54" s="125"/>
      <c r="N54" s="123">
        <f>IF(K54*$N$11&lt;(K54-$N$10),K54-$N$10,K54*$N$11)</f>
        <v>1300803.2456</v>
      </c>
      <c r="O54" s="123">
        <f>K54*$O$11</f>
        <v>1655230.5559504002</v>
      </c>
      <c r="P54" s="75">
        <f t="shared" si="37"/>
        <v>354427.31035040016</v>
      </c>
      <c r="Q54" s="75">
        <f t="shared" si="38"/>
        <v>1300803.2456</v>
      </c>
      <c r="R54" s="258" t="s">
        <v>129</v>
      </c>
      <c r="S54" s="204">
        <v>68</v>
      </c>
      <c r="T54" s="85">
        <v>33</v>
      </c>
      <c r="V54" s="30">
        <f t="shared" si="29"/>
        <v>3.1619999999999995</v>
      </c>
      <c r="W54" s="30">
        <f t="shared" si="32"/>
        <v>0</v>
      </c>
      <c r="X54" s="30">
        <f t="shared" si="30"/>
        <v>0</v>
      </c>
      <c r="Y54" s="30">
        <f t="shared" si="33"/>
        <v>90.61</v>
      </c>
      <c r="Z54" s="30">
        <f t="shared" si="31"/>
        <v>90</v>
      </c>
      <c r="AA54" s="30">
        <f t="shared" si="17"/>
        <v>0</v>
      </c>
      <c r="AB54" s="30">
        <f t="shared" si="10"/>
        <v>90.61</v>
      </c>
      <c r="AC54" s="95">
        <f t="shared" si="34"/>
        <v>1600803.2456</v>
      </c>
      <c r="AD54" s="86">
        <f t="shared" si="35"/>
        <v>0</v>
      </c>
    </row>
    <row r="55" spans="1:30" ht="15" hidden="1" customHeight="1" x14ac:dyDescent="0.25">
      <c r="A55" s="104" t="s">
        <v>64</v>
      </c>
      <c r="B55" s="78">
        <v>100</v>
      </c>
      <c r="C55" s="105">
        <v>11</v>
      </c>
      <c r="D55" s="106" t="s">
        <v>67</v>
      </c>
      <c r="E55" s="106">
        <v>3</v>
      </c>
      <c r="F55" s="106">
        <v>5</v>
      </c>
      <c r="G55" s="108">
        <v>124.99</v>
      </c>
      <c r="H55" s="109">
        <v>13.13</v>
      </c>
      <c r="I55" s="71">
        <v>5.81</v>
      </c>
      <c r="J55" s="71">
        <v>1</v>
      </c>
      <c r="K55" s="72"/>
      <c r="L55" s="124" t="s">
        <v>50</v>
      </c>
      <c r="M55" s="125"/>
      <c r="N55" s="123"/>
      <c r="O55" s="123"/>
      <c r="P55" s="75"/>
      <c r="Q55" s="75"/>
      <c r="R55" s="257" t="s">
        <v>126</v>
      </c>
      <c r="S55" s="207">
        <v>67</v>
      </c>
      <c r="T55" s="85">
        <v>119</v>
      </c>
      <c r="U55" s="86"/>
      <c r="V55" s="30">
        <f t="shared" si="29"/>
        <v>3.9390000000000001</v>
      </c>
      <c r="W55" s="30">
        <f t="shared" si="32"/>
        <v>0</v>
      </c>
      <c r="X55" s="30">
        <f t="shared" si="30"/>
        <v>0</v>
      </c>
      <c r="Y55" s="30">
        <f t="shared" si="33"/>
        <v>133.25300000000001</v>
      </c>
      <c r="Z55" s="30">
        <f t="shared" si="31"/>
        <v>125</v>
      </c>
      <c r="AA55" s="30">
        <f t="shared" si="17"/>
        <v>0</v>
      </c>
      <c r="AB55" s="30">
        <f t="shared" si="10"/>
        <v>133.25300000000001</v>
      </c>
      <c r="AC55" s="95">
        <f t="shared" si="34"/>
        <v>2354175.4208800001</v>
      </c>
      <c r="AD55" s="86">
        <f t="shared" si="35"/>
        <v>2354175.4208800001</v>
      </c>
    </row>
    <row r="56" spans="1:30" ht="15" customHeight="1" x14ac:dyDescent="0.25">
      <c r="A56" s="177" t="s">
        <v>64</v>
      </c>
      <c r="B56" s="162">
        <v>100</v>
      </c>
      <c r="C56" s="178">
        <v>12</v>
      </c>
      <c r="D56" s="179" t="s">
        <v>68</v>
      </c>
      <c r="E56" s="180">
        <v>3</v>
      </c>
      <c r="F56" s="180">
        <v>5</v>
      </c>
      <c r="G56" s="181">
        <v>124.6</v>
      </c>
      <c r="H56" s="192">
        <v>13.13</v>
      </c>
      <c r="I56" s="200">
        <v>4.01</v>
      </c>
      <c r="J56" s="200">
        <v>1</v>
      </c>
      <c r="K56" s="72">
        <f t="shared" si="36"/>
        <v>2334565.09528</v>
      </c>
      <c r="L56" s="124" t="s">
        <v>54</v>
      </c>
      <c r="M56" s="125"/>
      <c r="N56" s="123">
        <f>IF(K56*$N$11&lt;(K56-$N$10),K56-$N$10,K56*$N$11)</f>
        <v>2034565.09528</v>
      </c>
      <c r="O56" s="123">
        <f>K56*$O$11</f>
        <v>2413940.3085195199</v>
      </c>
      <c r="P56" s="75">
        <f t="shared" si="37"/>
        <v>379375.21323951986</v>
      </c>
      <c r="Q56" s="75">
        <f t="shared" si="38"/>
        <v>2034565.09528</v>
      </c>
      <c r="R56" s="257" t="s">
        <v>127</v>
      </c>
      <c r="S56" s="207">
        <v>107</v>
      </c>
      <c r="T56" s="85">
        <v>118</v>
      </c>
      <c r="U56" s="86"/>
      <c r="V56" s="30">
        <f t="shared" si="29"/>
        <v>3.9390000000000001</v>
      </c>
      <c r="W56" s="30">
        <f t="shared" si="32"/>
        <v>0</v>
      </c>
      <c r="X56" s="30">
        <f t="shared" si="30"/>
        <v>0</v>
      </c>
      <c r="Y56" s="30">
        <f t="shared" si="33"/>
        <v>132.143</v>
      </c>
      <c r="Z56" s="30">
        <f t="shared" si="31"/>
        <v>125</v>
      </c>
      <c r="AA56" s="30">
        <f t="shared" si="17"/>
        <v>0</v>
      </c>
      <c r="AB56" s="30">
        <f t="shared" si="10"/>
        <v>132.143</v>
      </c>
      <c r="AC56" s="95">
        <f t="shared" si="34"/>
        <v>2334565.09528</v>
      </c>
      <c r="AD56" s="86">
        <f t="shared" si="35"/>
        <v>0</v>
      </c>
    </row>
    <row r="57" spans="1:30" ht="15" customHeight="1" x14ac:dyDescent="0.25">
      <c r="A57" s="161" t="s">
        <v>64</v>
      </c>
      <c r="B57" s="162">
        <v>100</v>
      </c>
      <c r="C57" s="163">
        <v>13</v>
      </c>
      <c r="D57" s="164" t="s">
        <v>69</v>
      </c>
      <c r="E57" s="165">
        <v>3</v>
      </c>
      <c r="F57" s="165">
        <v>4</v>
      </c>
      <c r="G57" s="166">
        <v>101.65</v>
      </c>
      <c r="H57" s="189">
        <v>13.69</v>
      </c>
      <c r="I57" s="200">
        <v>4.91</v>
      </c>
      <c r="J57" s="200">
        <v>1</v>
      </c>
      <c r="K57" s="72">
        <f t="shared" si="36"/>
        <v>1938436.51816</v>
      </c>
      <c r="L57" s="124" t="s">
        <v>54</v>
      </c>
      <c r="M57" s="125"/>
      <c r="N57" s="123">
        <f>IF(K57*$N$11&lt;(K57-$N$10),K57-$N$10,K57*$N$11)</f>
        <v>1638436.51816</v>
      </c>
      <c r="O57" s="123">
        <f>K57*$O$11</f>
        <v>2004343.3597774401</v>
      </c>
      <c r="P57" s="75">
        <f t="shared" si="37"/>
        <v>365906.84161744011</v>
      </c>
      <c r="Q57" s="75">
        <f t="shared" si="38"/>
        <v>1638436.51816</v>
      </c>
      <c r="R57" s="257" t="s">
        <v>128</v>
      </c>
      <c r="S57" s="203">
        <v>101</v>
      </c>
      <c r="T57" s="85">
        <v>117</v>
      </c>
      <c r="V57" s="30">
        <f t="shared" si="29"/>
        <v>4.1069999999999993</v>
      </c>
      <c r="W57" s="30">
        <f t="shared" si="32"/>
        <v>0</v>
      </c>
      <c r="X57" s="30">
        <f t="shared" si="30"/>
        <v>0</v>
      </c>
      <c r="Y57" s="30">
        <f t="shared" si="33"/>
        <v>109.721</v>
      </c>
      <c r="Z57" s="30">
        <f t="shared" si="31"/>
        <v>110</v>
      </c>
      <c r="AA57" s="30">
        <f t="shared" si="17"/>
        <v>0</v>
      </c>
      <c r="AB57" s="30">
        <f t="shared" si="10"/>
        <v>109.721</v>
      </c>
      <c r="AC57" s="95">
        <f t="shared" si="34"/>
        <v>1938436.51816</v>
      </c>
      <c r="AD57" s="86">
        <f t="shared" si="35"/>
        <v>0</v>
      </c>
    </row>
    <row r="58" spans="1:30" ht="15.75" thickBot="1" x14ac:dyDescent="0.3">
      <c r="A58" s="167" t="s">
        <v>64</v>
      </c>
      <c r="B58" s="162">
        <v>100</v>
      </c>
      <c r="C58" s="168">
        <v>14</v>
      </c>
      <c r="D58" s="170" t="s">
        <v>70</v>
      </c>
      <c r="E58" s="184">
        <v>3</v>
      </c>
      <c r="F58" s="184">
        <v>3</v>
      </c>
      <c r="G58" s="171">
        <v>83.1</v>
      </c>
      <c r="H58" s="190">
        <v>10.54</v>
      </c>
      <c r="I58" s="200">
        <v>5.48</v>
      </c>
      <c r="J58" s="200">
        <v>1</v>
      </c>
      <c r="K58" s="72">
        <f t="shared" si="36"/>
        <v>1598047.1998400001</v>
      </c>
      <c r="L58" s="124" t="s">
        <v>54</v>
      </c>
      <c r="M58" s="125"/>
      <c r="N58" s="123">
        <f>IF(K58*$N$11&lt;(K58-$N$10),K58-$N$10,K58*$N$11)</f>
        <v>1298047.1998400001</v>
      </c>
      <c r="O58" s="123">
        <f>K58*$O$11</f>
        <v>1652380.8046345601</v>
      </c>
      <c r="P58" s="75">
        <f t="shared" si="37"/>
        <v>354333.60479456</v>
      </c>
      <c r="Q58" s="75">
        <f t="shared" si="38"/>
        <v>1298047.1998400001</v>
      </c>
      <c r="R58" s="258" t="s">
        <v>129</v>
      </c>
      <c r="S58" s="204">
        <v>79</v>
      </c>
      <c r="T58" s="85">
        <v>34</v>
      </c>
      <c r="V58" s="30">
        <f t="shared" si="29"/>
        <v>3.1619999999999995</v>
      </c>
      <c r="W58" s="30">
        <f t="shared" si="32"/>
        <v>0</v>
      </c>
      <c r="X58" s="30">
        <f t="shared" si="30"/>
        <v>0</v>
      </c>
      <c r="Y58" s="30">
        <f t="shared" si="33"/>
        <v>90.454000000000008</v>
      </c>
      <c r="Z58" s="30">
        <f t="shared" si="31"/>
        <v>90</v>
      </c>
      <c r="AA58" s="30">
        <f t="shared" si="17"/>
        <v>0</v>
      </c>
      <c r="AB58" s="30">
        <f t="shared" si="10"/>
        <v>90.454000000000008</v>
      </c>
      <c r="AC58" s="95">
        <f t="shared" si="34"/>
        <v>1598047.1998400001</v>
      </c>
      <c r="AD58" s="86">
        <f t="shared" si="35"/>
        <v>0</v>
      </c>
    </row>
    <row r="59" spans="1:30" ht="15" hidden="1" customHeight="1" x14ac:dyDescent="0.25">
      <c r="A59" s="104" t="s">
        <v>64</v>
      </c>
      <c r="B59" s="78">
        <v>100</v>
      </c>
      <c r="C59" s="105">
        <v>15</v>
      </c>
      <c r="D59" s="106" t="s">
        <v>67</v>
      </c>
      <c r="E59" s="106">
        <v>4</v>
      </c>
      <c r="F59" s="106">
        <v>5</v>
      </c>
      <c r="G59" s="108">
        <v>124.99</v>
      </c>
      <c r="H59" s="109">
        <v>13.13</v>
      </c>
      <c r="I59" s="71">
        <v>5.81</v>
      </c>
      <c r="J59" s="71">
        <v>1</v>
      </c>
      <c r="K59" s="72"/>
      <c r="L59" s="124" t="s">
        <v>50</v>
      </c>
      <c r="M59" s="125"/>
      <c r="N59" s="123"/>
      <c r="O59" s="123"/>
      <c r="P59" s="75"/>
      <c r="Q59" s="75"/>
      <c r="R59" s="257" t="s">
        <v>126</v>
      </c>
      <c r="S59" s="207">
        <v>66</v>
      </c>
      <c r="T59" s="85">
        <v>122</v>
      </c>
      <c r="U59" s="86"/>
      <c r="V59" s="30">
        <f t="shared" si="29"/>
        <v>3.9390000000000001</v>
      </c>
      <c r="W59" s="30">
        <f t="shared" si="32"/>
        <v>0</v>
      </c>
      <c r="X59" s="30">
        <f t="shared" si="30"/>
        <v>0</v>
      </c>
      <c r="Y59" s="30">
        <f t="shared" si="33"/>
        <v>133.25300000000001</v>
      </c>
      <c r="Z59" s="30">
        <f t="shared" si="31"/>
        <v>125</v>
      </c>
      <c r="AA59" s="30">
        <f t="shared" si="17"/>
        <v>0</v>
      </c>
      <c r="AB59" s="30">
        <f t="shared" si="10"/>
        <v>133.25300000000001</v>
      </c>
      <c r="AC59" s="95">
        <f t="shared" si="34"/>
        <v>2354175.4208800001</v>
      </c>
      <c r="AD59" s="86">
        <f t="shared" si="35"/>
        <v>2354175.4208800001</v>
      </c>
    </row>
    <row r="60" spans="1:30" ht="15" x14ac:dyDescent="0.25">
      <c r="A60" s="177" t="s">
        <v>64</v>
      </c>
      <c r="B60" s="162">
        <v>100</v>
      </c>
      <c r="C60" s="178">
        <v>16</v>
      </c>
      <c r="D60" s="179" t="s">
        <v>68</v>
      </c>
      <c r="E60" s="2">
        <v>4</v>
      </c>
      <c r="F60" s="2">
        <v>5</v>
      </c>
      <c r="G60" s="14">
        <v>124.6</v>
      </c>
      <c r="H60" s="194">
        <v>13.13</v>
      </c>
      <c r="I60" s="200">
        <v>4.01</v>
      </c>
      <c r="J60" s="200">
        <v>2</v>
      </c>
      <c r="K60" s="72">
        <f t="shared" si="36"/>
        <v>2369899.0152799999</v>
      </c>
      <c r="L60" s="124" t="s">
        <v>54</v>
      </c>
      <c r="M60" s="125"/>
      <c r="N60" s="123">
        <f>IF(K60*$N$11&lt;(K60-$N$10),K60-$N$10,K60*$N$11)</f>
        <v>2069899.0152799999</v>
      </c>
      <c r="O60" s="123">
        <f>K60*$O$11</f>
        <v>2450475.5817995202</v>
      </c>
      <c r="P60" s="75">
        <f t="shared" si="37"/>
        <v>380576.56651952025</v>
      </c>
      <c r="Q60" s="75">
        <f t="shared" si="38"/>
        <v>2069899.0152799999</v>
      </c>
      <c r="R60" s="257" t="s">
        <v>127</v>
      </c>
      <c r="S60" s="208">
        <v>117118</v>
      </c>
      <c r="T60" s="85">
        <v>121</v>
      </c>
      <c r="U60" s="86"/>
      <c r="V60" s="30">
        <f t="shared" si="29"/>
        <v>3.9390000000000001</v>
      </c>
      <c r="W60" s="30">
        <f t="shared" si="32"/>
        <v>0</v>
      </c>
      <c r="X60" s="30">
        <f t="shared" si="30"/>
        <v>0</v>
      </c>
      <c r="Y60" s="30">
        <f t="shared" si="33"/>
        <v>134.143</v>
      </c>
      <c r="Z60" s="30">
        <f t="shared" si="31"/>
        <v>125</v>
      </c>
      <c r="AA60" s="30">
        <f t="shared" si="17"/>
        <v>0</v>
      </c>
      <c r="AB60" s="30">
        <f t="shared" si="10"/>
        <v>134.143</v>
      </c>
    </row>
    <row r="61" spans="1:30" ht="15" x14ac:dyDescent="0.25">
      <c r="A61" s="161" t="s">
        <v>64</v>
      </c>
      <c r="B61" s="162">
        <v>100</v>
      </c>
      <c r="C61" s="163">
        <v>17</v>
      </c>
      <c r="D61" s="164" t="s">
        <v>69</v>
      </c>
      <c r="E61" s="165">
        <v>4</v>
      </c>
      <c r="F61" s="165">
        <v>4</v>
      </c>
      <c r="G61" s="166">
        <v>101.65</v>
      </c>
      <c r="H61" s="189">
        <v>13.69</v>
      </c>
      <c r="I61" s="200">
        <v>4.91</v>
      </c>
      <c r="J61" s="200">
        <v>1</v>
      </c>
      <c r="K61" s="72">
        <f t="shared" si="36"/>
        <v>1938436.51816</v>
      </c>
      <c r="L61" s="124" t="s">
        <v>54</v>
      </c>
      <c r="M61" s="125"/>
      <c r="N61" s="123">
        <f>IF(K61*$N$11&lt;(K61-$N$10),K61-$N$10,K61*$N$11)</f>
        <v>1638436.51816</v>
      </c>
      <c r="O61" s="123">
        <f>K61*$O$11</f>
        <v>2004343.3597774401</v>
      </c>
      <c r="P61" s="75">
        <f t="shared" si="37"/>
        <v>365906.84161744011</v>
      </c>
      <c r="Q61" s="75">
        <f t="shared" si="38"/>
        <v>1638436.51816</v>
      </c>
      <c r="R61" s="257" t="s">
        <v>128</v>
      </c>
      <c r="S61" s="203">
        <v>100</v>
      </c>
      <c r="T61" s="85">
        <v>120</v>
      </c>
      <c r="V61" s="30">
        <f t="shared" si="29"/>
        <v>4.1069999999999993</v>
      </c>
      <c r="W61" s="30">
        <f t="shared" si="32"/>
        <v>0</v>
      </c>
      <c r="X61" s="30">
        <f t="shared" si="30"/>
        <v>0</v>
      </c>
      <c r="Y61" s="30">
        <f t="shared" si="33"/>
        <v>109.721</v>
      </c>
      <c r="Z61" s="30">
        <f t="shared" si="31"/>
        <v>110</v>
      </c>
      <c r="AA61" s="30">
        <f t="shared" ref="AA61:AA92" si="39">IF(G61&gt;Z61,(G61-Z61)*0.15,0)</f>
        <v>0</v>
      </c>
      <c r="AB61" s="30">
        <f t="shared" si="10"/>
        <v>109.721</v>
      </c>
    </row>
    <row r="62" spans="1:30" ht="15.75" customHeight="1" thickBot="1" x14ac:dyDescent="0.3">
      <c r="A62" s="167" t="s">
        <v>64</v>
      </c>
      <c r="B62" s="162">
        <v>100</v>
      </c>
      <c r="C62" s="185">
        <v>18</v>
      </c>
      <c r="D62" s="169" t="s">
        <v>70</v>
      </c>
      <c r="E62" s="186">
        <v>4</v>
      </c>
      <c r="F62" s="186">
        <v>3</v>
      </c>
      <c r="G62" s="187">
        <v>83.1</v>
      </c>
      <c r="H62" s="195">
        <v>10.54</v>
      </c>
      <c r="I62" s="200">
        <v>7.25</v>
      </c>
      <c r="J62" s="200">
        <v>1</v>
      </c>
      <c r="K62" s="72">
        <f t="shared" si="36"/>
        <v>1610555.4075200001</v>
      </c>
      <c r="L62" s="124" t="s">
        <v>54</v>
      </c>
      <c r="M62" s="125"/>
      <c r="N62" s="123">
        <f>IF(K62*$N$11&lt;(K62-$N$10),K62-$N$10,K62*$N$11)</f>
        <v>1310555.4075200001</v>
      </c>
      <c r="O62" s="123">
        <f>K62*$O$11</f>
        <v>1665314.2913756801</v>
      </c>
      <c r="P62" s="75">
        <f t="shared" si="37"/>
        <v>354758.88385568</v>
      </c>
      <c r="Q62" s="75">
        <f t="shared" si="38"/>
        <v>1310555.4075200001</v>
      </c>
      <c r="R62" s="258" t="s">
        <v>129</v>
      </c>
      <c r="S62" s="204">
        <v>78</v>
      </c>
      <c r="T62" s="85">
        <v>35</v>
      </c>
      <c r="V62" s="30">
        <f t="shared" si="29"/>
        <v>3.1619999999999995</v>
      </c>
      <c r="W62" s="30">
        <f t="shared" si="32"/>
        <v>0</v>
      </c>
      <c r="X62" s="30">
        <f t="shared" si="30"/>
        <v>0</v>
      </c>
      <c r="Y62" s="30">
        <f t="shared" si="33"/>
        <v>91.162000000000006</v>
      </c>
      <c r="Z62" s="30">
        <f t="shared" si="31"/>
        <v>90</v>
      </c>
      <c r="AA62" s="30">
        <f t="shared" si="39"/>
        <v>0</v>
      </c>
      <c r="AB62" s="30">
        <f t="shared" si="10"/>
        <v>91.162000000000006</v>
      </c>
    </row>
    <row r="63" spans="1:30" ht="15" hidden="1" customHeight="1" x14ac:dyDescent="0.25">
      <c r="A63" s="104" t="s">
        <v>64</v>
      </c>
      <c r="B63" s="78">
        <v>100</v>
      </c>
      <c r="C63" s="126">
        <v>19</v>
      </c>
      <c r="D63" s="127" t="s">
        <v>67</v>
      </c>
      <c r="E63" s="127">
        <v>5</v>
      </c>
      <c r="F63" s="127">
        <v>5</v>
      </c>
      <c r="G63" s="112">
        <v>124.99</v>
      </c>
      <c r="H63" s="113">
        <v>13.13</v>
      </c>
      <c r="I63" s="71">
        <v>5.81</v>
      </c>
      <c r="J63" s="71">
        <v>1</v>
      </c>
      <c r="K63" s="72"/>
      <c r="L63" s="124" t="s">
        <v>50</v>
      </c>
      <c r="M63" s="125"/>
      <c r="N63" s="123"/>
      <c r="O63" s="123"/>
      <c r="P63" s="75"/>
      <c r="Q63" s="75"/>
      <c r="R63" s="257" t="s">
        <v>126</v>
      </c>
      <c r="S63" s="207">
        <v>65</v>
      </c>
      <c r="T63" s="85">
        <v>125</v>
      </c>
      <c r="U63" s="86"/>
      <c r="V63" s="30">
        <f t="shared" si="29"/>
        <v>3.9390000000000001</v>
      </c>
      <c r="W63" s="30">
        <f t="shared" si="32"/>
        <v>0</v>
      </c>
      <c r="X63" s="30">
        <f t="shared" si="30"/>
        <v>0</v>
      </c>
      <c r="Y63" s="30">
        <f t="shared" si="33"/>
        <v>133.25300000000001</v>
      </c>
      <c r="Z63" s="30">
        <f t="shared" si="31"/>
        <v>125</v>
      </c>
      <c r="AA63" s="30">
        <f t="shared" si="39"/>
        <v>0</v>
      </c>
      <c r="AB63" s="30">
        <f t="shared" si="10"/>
        <v>133.25300000000001</v>
      </c>
    </row>
    <row r="64" spans="1:30" ht="15" customHeight="1" x14ac:dyDescent="0.25">
      <c r="A64" s="177" t="s">
        <v>64</v>
      </c>
      <c r="B64" s="162">
        <v>100</v>
      </c>
      <c r="C64" s="178">
        <v>20</v>
      </c>
      <c r="D64" s="179" t="s">
        <v>68</v>
      </c>
      <c r="E64" s="180">
        <v>5</v>
      </c>
      <c r="F64" s="180">
        <v>5</v>
      </c>
      <c r="G64" s="181">
        <v>124.6</v>
      </c>
      <c r="H64" s="192">
        <v>13.13</v>
      </c>
      <c r="I64" s="200">
        <v>4.01</v>
      </c>
      <c r="J64" s="200">
        <v>2</v>
      </c>
      <c r="K64" s="72">
        <f t="shared" si="36"/>
        <v>2369899.0152799999</v>
      </c>
      <c r="L64" s="124" t="s">
        <v>54</v>
      </c>
      <c r="M64" s="125"/>
      <c r="N64" s="123">
        <f>IF(K64*$N$11&lt;(K64-$N$10),K64-$N$10,K64*$N$11)</f>
        <v>2069899.0152799999</v>
      </c>
      <c r="O64" s="123">
        <f>K64*$O$11</f>
        <v>2450475.5817995202</v>
      </c>
      <c r="P64" s="75">
        <f t="shared" si="37"/>
        <v>380576.56651952025</v>
      </c>
      <c r="Q64" s="75">
        <f t="shared" si="38"/>
        <v>2069899.0152799999</v>
      </c>
      <c r="R64" s="257" t="s">
        <v>127</v>
      </c>
      <c r="S64" s="207" t="s">
        <v>105</v>
      </c>
      <c r="T64" s="85">
        <v>124</v>
      </c>
      <c r="U64" s="86">
        <f>P64-500000</f>
        <v>-119423.43348047975</v>
      </c>
      <c r="V64" s="30">
        <f t="shared" si="29"/>
        <v>3.9390000000000001</v>
      </c>
      <c r="W64" s="30">
        <f t="shared" si="32"/>
        <v>0</v>
      </c>
      <c r="X64" s="30">
        <f t="shared" si="30"/>
        <v>0</v>
      </c>
      <c r="Y64" s="30">
        <f t="shared" si="33"/>
        <v>134.143</v>
      </c>
      <c r="Z64" s="30">
        <f t="shared" si="31"/>
        <v>125</v>
      </c>
      <c r="AA64" s="30">
        <f t="shared" si="39"/>
        <v>0</v>
      </c>
      <c r="AB64" s="30">
        <f t="shared" si="10"/>
        <v>134.143</v>
      </c>
    </row>
    <row r="65" spans="1:30" ht="15" customHeight="1" x14ac:dyDescent="0.25">
      <c r="A65" s="161" t="s">
        <v>64</v>
      </c>
      <c r="B65" s="162">
        <v>100</v>
      </c>
      <c r="C65" s="163">
        <v>21</v>
      </c>
      <c r="D65" s="164" t="s">
        <v>69</v>
      </c>
      <c r="E65" s="165">
        <v>5</v>
      </c>
      <c r="F65" s="165">
        <v>4</v>
      </c>
      <c r="G65" s="166">
        <v>101.65</v>
      </c>
      <c r="H65" s="189">
        <v>13.69</v>
      </c>
      <c r="I65" s="200">
        <v>4.91</v>
      </c>
      <c r="J65" s="200">
        <v>1</v>
      </c>
      <c r="K65" s="72">
        <f t="shared" si="36"/>
        <v>1938436.51816</v>
      </c>
      <c r="L65" s="124" t="s">
        <v>54</v>
      </c>
      <c r="M65" s="125"/>
      <c r="N65" s="123">
        <f>IF(K65*$N$11&lt;(K65-$N$10),K65-$N$10,K65*$N$11)</f>
        <v>1638436.51816</v>
      </c>
      <c r="O65" s="123">
        <f>K65*$O$11</f>
        <v>2004343.3597774401</v>
      </c>
      <c r="P65" s="75">
        <f t="shared" si="37"/>
        <v>365906.84161744011</v>
      </c>
      <c r="Q65" s="75">
        <f t="shared" si="38"/>
        <v>1638436.51816</v>
      </c>
      <c r="R65" s="257" t="s">
        <v>128</v>
      </c>
      <c r="S65" s="203">
        <v>99</v>
      </c>
      <c r="T65" s="85">
        <v>123</v>
      </c>
      <c r="V65" s="30">
        <f t="shared" si="29"/>
        <v>4.1069999999999993</v>
      </c>
      <c r="W65" s="30">
        <f t="shared" si="32"/>
        <v>0</v>
      </c>
      <c r="X65" s="30">
        <f t="shared" si="30"/>
        <v>0</v>
      </c>
      <c r="Y65" s="30">
        <f t="shared" si="33"/>
        <v>109.721</v>
      </c>
      <c r="Z65" s="30">
        <f t="shared" si="31"/>
        <v>110</v>
      </c>
      <c r="AA65" s="30">
        <f t="shared" si="39"/>
        <v>0</v>
      </c>
      <c r="AB65" s="30">
        <f t="shared" si="10"/>
        <v>109.721</v>
      </c>
    </row>
    <row r="66" spans="1:30" ht="15.75" hidden="1" thickBot="1" x14ac:dyDescent="0.3">
      <c r="A66" s="77" t="s">
        <v>64</v>
      </c>
      <c r="B66" s="78">
        <v>100</v>
      </c>
      <c r="C66" s="79">
        <v>22</v>
      </c>
      <c r="D66" s="81" t="s">
        <v>70</v>
      </c>
      <c r="E66" s="97">
        <v>5</v>
      </c>
      <c r="F66" s="97">
        <v>3</v>
      </c>
      <c r="G66" s="82">
        <v>83.1</v>
      </c>
      <c r="H66" s="83">
        <v>10.54</v>
      </c>
      <c r="I66" s="71">
        <v>7.67</v>
      </c>
      <c r="J66" s="71">
        <v>1</v>
      </c>
      <c r="K66" s="72"/>
      <c r="L66" s="124" t="s">
        <v>50</v>
      </c>
      <c r="M66" s="125"/>
      <c r="N66" s="123"/>
      <c r="O66" s="123"/>
      <c r="P66" s="75"/>
      <c r="Q66" s="75"/>
      <c r="R66" s="258" t="s">
        <v>129</v>
      </c>
      <c r="S66" s="204">
        <v>76</v>
      </c>
      <c r="T66" s="85">
        <v>36</v>
      </c>
      <c r="V66" s="30">
        <f t="shared" si="29"/>
        <v>3.1619999999999995</v>
      </c>
      <c r="W66" s="30">
        <f t="shared" si="32"/>
        <v>0</v>
      </c>
      <c r="X66" s="30">
        <f t="shared" si="30"/>
        <v>0</v>
      </c>
      <c r="Y66" s="30">
        <f t="shared" si="33"/>
        <v>91.33</v>
      </c>
      <c r="Z66" s="30">
        <f t="shared" si="31"/>
        <v>90</v>
      </c>
      <c r="AA66" s="30">
        <f t="shared" si="39"/>
        <v>0</v>
      </c>
      <c r="AB66" s="30">
        <f t="shared" si="10"/>
        <v>91.33</v>
      </c>
      <c r="AC66" s="95">
        <f>AB66*$O$9</f>
        <v>1613523.4567999998</v>
      </c>
      <c r="AD66" s="86">
        <f>AC66-K66</f>
        <v>1613523.4567999998</v>
      </c>
    </row>
    <row r="67" spans="1:30" ht="15" hidden="1" customHeight="1" x14ac:dyDescent="0.25">
      <c r="A67" s="215" t="s">
        <v>64</v>
      </c>
      <c r="B67" s="78">
        <v>100</v>
      </c>
      <c r="C67" s="126">
        <v>23</v>
      </c>
      <c r="D67" s="127" t="s">
        <v>67</v>
      </c>
      <c r="E67" s="127">
        <v>6</v>
      </c>
      <c r="F67" s="127">
        <v>5</v>
      </c>
      <c r="G67" s="112">
        <v>124.99</v>
      </c>
      <c r="H67" s="113">
        <v>13.13</v>
      </c>
      <c r="I67" s="71">
        <v>5.81</v>
      </c>
      <c r="J67" s="71">
        <v>1</v>
      </c>
      <c r="K67" s="72"/>
      <c r="L67" s="124" t="s">
        <v>50</v>
      </c>
      <c r="M67" s="125"/>
      <c r="N67" s="123"/>
      <c r="O67" s="123"/>
      <c r="P67" s="75"/>
      <c r="Q67" s="75"/>
      <c r="R67" s="257" t="s">
        <v>126</v>
      </c>
      <c r="S67" s="207">
        <v>83</v>
      </c>
      <c r="T67" s="85">
        <v>128</v>
      </c>
      <c r="U67" s="86">
        <f>P67-500000</f>
        <v>-500000</v>
      </c>
      <c r="V67" s="30">
        <f t="shared" si="29"/>
        <v>3.9390000000000001</v>
      </c>
      <c r="W67" s="30">
        <f t="shared" si="32"/>
        <v>0</v>
      </c>
      <c r="X67" s="30">
        <f t="shared" si="30"/>
        <v>0</v>
      </c>
      <c r="Y67" s="30">
        <f t="shared" si="33"/>
        <v>133.25300000000001</v>
      </c>
      <c r="Z67" s="30">
        <f t="shared" si="31"/>
        <v>125</v>
      </c>
      <c r="AA67" s="30">
        <f t="shared" si="39"/>
        <v>0</v>
      </c>
      <c r="AB67" s="30">
        <f t="shared" si="10"/>
        <v>133.25300000000001</v>
      </c>
    </row>
    <row r="68" spans="1:30" ht="15" hidden="1" customHeight="1" x14ac:dyDescent="0.25">
      <c r="A68" s="216" t="s">
        <v>64</v>
      </c>
      <c r="B68" s="78">
        <v>100</v>
      </c>
      <c r="C68" s="217">
        <v>24</v>
      </c>
      <c r="D68" s="218" t="s">
        <v>68</v>
      </c>
      <c r="E68" s="85">
        <v>6</v>
      </c>
      <c r="F68" s="85">
        <v>5</v>
      </c>
      <c r="G68" s="219">
        <v>124.6</v>
      </c>
      <c r="H68" s="220">
        <v>13.13</v>
      </c>
      <c r="I68" s="71">
        <v>4.01</v>
      </c>
      <c r="J68" s="71">
        <v>1</v>
      </c>
      <c r="K68" s="72"/>
      <c r="L68" s="124" t="s">
        <v>50</v>
      </c>
      <c r="M68" s="125"/>
      <c r="N68" s="123"/>
      <c r="O68" s="123"/>
      <c r="P68" s="75"/>
      <c r="Q68" s="75"/>
      <c r="R68" s="257" t="s">
        <v>127</v>
      </c>
      <c r="S68" s="207">
        <v>62</v>
      </c>
      <c r="T68" s="85">
        <v>127</v>
      </c>
      <c r="U68" s="86">
        <f>P68-500000</f>
        <v>-500000</v>
      </c>
      <c r="V68" s="30">
        <f t="shared" si="29"/>
        <v>3.9390000000000001</v>
      </c>
      <c r="W68" s="30">
        <f t="shared" si="32"/>
        <v>0</v>
      </c>
      <c r="X68" s="30">
        <f t="shared" si="30"/>
        <v>0</v>
      </c>
      <c r="Y68" s="30">
        <f t="shared" si="33"/>
        <v>132.143</v>
      </c>
      <c r="Z68" s="30">
        <f t="shared" si="31"/>
        <v>125</v>
      </c>
      <c r="AA68" s="30">
        <f t="shared" si="39"/>
        <v>0</v>
      </c>
      <c r="AB68" s="30">
        <f t="shared" si="10"/>
        <v>132.143</v>
      </c>
    </row>
    <row r="69" spans="1:30" ht="14.25" customHeight="1" x14ac:dyDescent="0.2">
      <c r="A69" s="221" t="s">
        <v>64</v>
      </c>
      <c r="B69" s="162">
        <v>100</v>
      </c>
      <c r="C69" s="222">
        <v>25</v>
      </c>
      <c r="D69" s="223" t="s">
        <v>69</v>
      </c>
      <c r="E69" s="224">
        <v>6</v>
      </c>
      <c r="F69" s="224">
        <v>4</v>
      </c>
      <c r="G69" s="225">
        <v>101.65</v>
      </c>
      <c r="H69" s="226">
        <v>13.69</v>
      </c>
      <c r="I69" s="200">
        <v>4.91</v>
      </c>
      <c r="J69" s="200">
        <v>1</v>
      </c>
      <c r="K69" s="72">
        <f t="shared" si="36"/>
        <v>1938436.51816</v>
      </c>
      <c r="L69" s="124" t="s">
        <v>54</v>
      </c>
      <c r="M69" s="85"/>
      <c r="N69" s="123">
        <f>IF(K69*$N$11&lt;(K69-$N$10),K69-$N$10,K69*$N$11)</f>
        <v>1638436.51816</v>
      </c>
      <c r="O69" s="123">
        <f>K69*$O$11</f>
        <v>2004343.3597774401</v>
      </c>
      <c r="P69" s="75">
        <f t="shared" si="37"/>
        <v>365906.84161744011</v>
      </c>
      <c r="Q69" s="75">
        <f t="shared" si="38"/>
        <v>1638436.51816</v>
      </c>
      <c r="R69" s="257" t="s">
        <v>128</v>
      </c>
      <c r="S69" s="203">
        <v>98</v>
      </c>
      <c r="T69" s="85">
        <v>126</v>
      </c>
      <c r="V69" s="30">
        <f t="shared" si="29"/>
        <v>4.1069999999999993</v>
      </c>
      <c r="W69" s="30">
        <f t="shared" si="32"/>
        <v>0</v>
      </c>
      <c r="X69" s="30">
        <f t="shared" si="30"/>
        <v>0</v>
      </c>
      <c r="Y69" s="30">
        <f t="shared" si="33"/>
        <v>109.721</v>
      </c>
      <c r="Z69" s="30">
        <f t="shared" si="31"/>
        <v>110</v>
      </c>
      <c r="AA69" s="30">
        <f t="shared" si="39"/>
        <v>0</v>
      </c>
      <c r="AB69" s="30">
        <f t="shared" si="10"/>
        <v>109.721</v>
      </c>
    </row>
    <row r="70" spans="1:30" ht="14.25" hidden="1" customHeight="1" thickBot="1" x14ac:dyDescent="0.25">
      <c r="A70" s="227" t="s">
        <v>64</v>
      </c>
      <c r="B70" s="78">
        <v>100</v>
      </c>
      <c r="C70" s="228">
        <v>26</v>
      </c>
      <c r="D70" s="80" t="s">
        <v>70</v>
      </c>
      <c r="E70" s="229">
        <v>6</v>
      </c>
      <c r="F70" s="229">
        <v>3</v>
      </c>
      <c r="G70" s="230">
        <v>83.1</v>
      </c>
      <c r="H70" s="231">
        <v>10.54</v>
      </c>
      <c r="I70" s="71">
        <v>6.72</v>
      </c>
      <c r="J70" s="71">
        <v>1</v>
      </c>
      <c r="K70" s="72"/>
      <c r="L70" s="124" t="s">
        <v>50</v>
      </c>
      <c r="M70" s="121"/>
      <c r="N70" s="123"/>
      <c r="O70" s="123"/>
      <c r="P70" s="75"/>
      <c r="Q70" s="75"/>
      <c r="R70" s="258" t="s">
        <v>129</v>
      </c>
      <c r="S70" s="204">
        <v>75</v>
      </c>
      <c r="T70" s="85">
        <v>37</v>
      </c>
      <c r="V70" s="30">
        <f t="shared" si="29"/>
        <v>3.1619999999999995</v>
      </c>
      <c r="W70" s="30">
        <f t="shared" si="32"/>
        <v>0</v>
      </c>
      <c r="X70" s="30">
        <f t="shared" si="30"/>
        <v>0</v>
      </c>
      <c r="Y70" s="30">
        <f t="shared" si="33"/>
        <v>90.95</v>
      </c>
      <c r="Z70" s="30">
        <f t="shared" si="31"/>
        <v>90</v>
      </c>
      <c r="AA70" s="30">
        <f t="shared" si="39"/>
        <v>0</v>
      </c>
      <c r="AB70" s="30">
        <f t="shared" si="10"/>
        <v>90.95</v>
      </c>
    </row>
    <row r="71" spans="1:30" ht="14.25" hidden="1" customHeight="1" x14ac:dyDescent="0.2">
      <c r="A71" s="232" t="s">
        <v>64</v>
      </c>
      <c r="B71" s="78">
        <v>100</v>
      </c>
      <c r="C71" s="233">
        <v>27</v>
      </c>
      <c r="D71" s="234" t="s">
        <v>71</v>
      </c>
      <c r="E71" s="234">
        <v>7</v>
      </c>
      <c r="F71" s="234">
        <v>5</v>
      </c>
      <c r="G71" s="235">
        <v>137.41</v>
      </c>
      <c r="H71" s="236">
        <v>62.04</v>
      </c>
      <c r="I71" s="71">
        <v>5.62</v>
      </c>
      <c r="J71" s="71">
        <v>1</v>
      </c>
      <c r="K71" s="72"/>
      <c r="L71" s="128" t="s">
        <v>50</v>
      </c>
      <c r="M71" s="124"/>
      <c r="N71" s="123"/>
      <c r="O71" s="123"/>
      <c r="P71" s="75"/>
      <c r="Q71" s="75"/>
      <c r="R71" s="257" t="s">
        <v>130</v>
      </c>
      <c r="S71" s="207">
        <v>82</v>
      </c>
      <c r="T71" s="85">
        <v>129</v>
      </c>
      <c r="U71" s="86">
        <f>P71-500000</f>
        <v>-500000</v>
      </c>
      <c r="V71" s="30">
        <f t="shared" si="29"/>
        <v>9</v>
      </c>
      <c r="W71" s="87">
        <v>6</v>
      </c>
      <c r="X71" s="30">
        <f t="shared" si="30"/>
        <v>0.20399999999999993</v>
      </c>
      <c r="Y71" s="30">
        <f>W71+V71+G71+I71*$I$11+X71+J71*$J$11</f>
        <v>156.86199999999999</v>
      </c>
      <c r="Z71" s="30">
        <f t="shared" si="31"/>
        <v>125</v>
      </c>
      <c r="AA71" s="30">
        <f t="shared" si="39"/>
        <v>1.8614999999999995</v>
      </c>
      <c r="AB71" s="30">
        <f t="shared" si="10"/>
        <v>155.00049999999999</v>
      </c>
    </row>
    <row r="72" spans="1:30" ht="14.25" hidden="1" customHeight="1" thickBot="1" x14ac:dyDescent="0.25">
      <c r="A72" s="227" t="s">
        <v>64</v>
      </c>
      <c r="B72" s="78">
        <v>100</v>
      </c>
      <c r="C72" s="228">
        <v>28</v>
      </c>
      <c r="D72" s="80" t="s">
        <v>72</v>
      </c>
      <c r="E72" s="229">
        <v>7</v>
      </c>
      <c r="F72" s="229">
        <v>6</v>
      </c>
      <c r="G72" s="230">
        <v>150.13</v>
      </c>
      <c r="H72" s="231">
        <f>76.26+19.98</f>
        <v>96.240000000000009</v>
      </c>
      <c r="I72" s="71">
        <v>5.54</v>
      </c>
      <c r="J72" s="71">
        <v>2</v>
      </c>
      <c r="K72" s="72"/>
      <c r="L72" s="128" t="s">
        <v>50</v>
      </c>
      <c r="M72" s="124"/>
      <c r="N72" s="123"/>
      <c r="O72" s="123"/>
      <c r="P72" s="75"/>
      <c r="Q72" s="75"/>
      <c r="R72" s="258" t="s">
        <v>131</v>
      </c>
      <c r="S72" s="207" t="s">
        <v>104</v>
      </c>
      <c r="T72" s="85">
        <v>130</v>
      </c>
      <c r="U72" s="86">
        <f>P72-500000</f>
        <v>-500000</v>
      </c>
      <c r="V72" s="30">
        <f t="shared" si="29"/>
        <v>9</v>
      </c>
      <c r="W72" s="87">
        <v>6</v>
      </c>
      <c r="X72" s="30">
        <f t="shared" si="30"/>
        <v>3.624000000000001</v>
      </c>
      <c r="Y72" s="30">
        <f>W72+V72+G72+I72*$I$11+X72+J72*$J$11</f>
        <v>174.97</v>
      </c>
      <c r="Z72" s="30">
        <f t="shared" si="31"/>
        <v>145</v>
      </c>
      <c r="AA72" s="30">
        <f t="shared" si="39"/>
        <v>0.7694999999999993</v>
      </c>
      <c r="AB72" s="30">
        <f t="shared" si="10"/>
        <v>174.20050000000001</v>
      </c>
    </row>
    <row r="73" spans="1:30" ht="15.75" hidden="1" customHeight="1" thickBot="1" x14ac:dyDescent="0.3">
      <c r="A73" s="274" t="s">
        <v>56</v>
      </c>
      <c r="B73" s="275"/>
      <c r="C73" s="276"/>
      <c r="D73" s="276"/>
      <c r="E73" s="276"/>
      <c r="F73" s="276"/>
      <c r="G73" s="98">
        <f>SUMIF(L45:L72,"כן",G45:G72)/COUNT(C45:C72)</f>
        <v>51.453571428571429</v>
      </c>
      <c r="H73" s="99"/>
      <c r="I73" s="100" t="s">
        <v>57</v>
      </c>
      <c r="J73" s="99"/>
      <c r="K73" s="101">
        <f>COUNTIF(L45:L72,"כן")/COUNT(C45:C72)</f>
        <v>0.5</v>
      </c>
      <c r="L73" s="101">
        <v>0.5</v>
      </c>
      <c r="M73" s="123">
        <f>J73*0.8</f>
        <v>0</v>
      </c>
      <c r="N73" s="123">
        <f>J73*$N$11</f>
        <v>0</v>
      </c>
      <c r="O73" s="75">
        <f t="shared" ref="O73" si="40">N73-M73</f>
        <v>0</v>
      </c>
      <c r="P73" s="75">
        <f t="shared" ref="P73" si="41">M73+T73</f>
        <v>0</v>
      </c>
      <c r="Q73" s="102"/>
      <c r="R73" s="120"/>
      <c r="T73" s="86"/>
      <c r="V73" s="30">
        <f t="shared" si="29"/>
        <v>0</v>
      </c>
      <c r="W73" s="30">
        <f t="shared" ref="W73:W104" si="42">IF(H73&gt;$V$10,(H73-$V$10)*$W$11,0)</f>
        <v>0</v>
      </c>
      <c r="X73" s="30">
        <f t="shared" si="30"/>
        <v>0</v>
      </c>
      <c r="Y73" s="30" t="e">
        <f t="shared" ref="Y73:Y104" si="43">W73+V73+G73+I73*$I$11+J73*$J$11</f>
        <v>#VALUE!</v>
      </c>
      <c r="Z73" s="30" t="e">
        <f>VLOOKUP(F73,$AE$3:$AF$11,2,FALSE)</f>
        <v>#N/A</v>
      </c>
      <c r="AA73" s="30" t="e">
        <f t="shared" si="39"/>
        <v>#N/A</v>
      </c>
      <c r="AB73" s="30" t="e">
        <f t="shared" si="10"/>
        <v>#VALUE!</v>
      </c>
    </row>
    <row r="74" spans="1:30" ht="15" x14ac:dyDescent="0.25">
      <c r="A74" s="237" t="s">
        <v>73</v>
      </c>
      <c r="B74" s="188">
        <v>100</v>
      </c>
      <c r="C74" s="238">
        <v>1</v>
      </c>
      <c r="D74" s="239" t="s">
        <v>74</v>
      </c>
      <c r="E74" s="182">
        <v>1</v>
      </c>
      <c r="F74" s="182">
        <v>4</v>
      </c>
      <c r="G74" s="183">
        <v>109.45</v>
      </c>
      <c r="H74" s="240">
        <v>13.28</v>
      </c>
      <c r="I74" s="2">
        <v>4.9400000000000004</v>
      </c>
      <c r="J74" s="200">
        <v>1</v>
      </c>
      <c r="K74" s="72">
        <f>AB74*$O$9*M74</f>
        <v>1970563.8849199996</v>
      </c>
      <c r="L74" s="71" t="s">
        <v>54</v>
      </c>
      <c r="M74" s="125">
        <v>0.95</v>
      </c>
      <c r="N74" s="123">
        <f t="shared" ref="N74:N116" si="44">IF(K74*$N$11&lt;(K74-$N$10),K74-$N$10,K74*$N$11)</f>
        <v>1670563.8849199996</v>
      </c>
      <c r="O74" s="123">
        <f t="shared" ref="O74:O116" si="45">K74*$O$11</f>
        <v>2037563.0570072797</v>
      </c>
      <c r="P74" s="75">
        <f t="shared" ref="P74:P105" si="46">O74-N74</f>
        <v>366999.17208728008</v>
      </c>
      <c r="Q74" s="75">
        <f t="shared" ref="Q74:Q105" si="47">IF(P74&gt;$Q$11,(P74-$Q$11+N74),N74)</f>
        <v>1670563.8849199996</v>
      </c>
      <c r="R74" s="257" t="s">
        <v>126</v>
      </c>
      <c r="S74" s="207">
        <v>58</v>
      </c>
      <c r="T74" s="85">
        <v>58</v>
      </c>
      <c r="V74" s="30">
        <f t="shared" si="29"/>
        <v>3.9839999999999995</v>
      </c>
      <c r="W74" s="30">
        <f t="shared" si="42"/>
        <v>0</v>
      </c>
      <c r="X74" s="30">
        <f t="shared" si="30"/>
        <v>0</v>
      </c>
      <c r="Y74" s="30">
        <f t="shared" si="43"/>
        <v>117.41</v>
      </c>
      <c r="Z74" s="30">
        <f t="shared" ref="Z74:Z105" si="48">VLOOKUP(F74,$AC$3:$AD$11,2,FALSE)</f>
        <v>110</v>
      </c>
      <c r="AA74" s="30">
        <f t="shared" si="39"/>
        <v>0</v>
      </c>
      <c r="AB74" s="30">
        <f t="shared" si="10"/>
        <v>117.41</v>
      </c>
      <c r="AC74" s="95">
        <f t="shared" ref="AC74:AC93" si="49">AB74*$O$9</f>
        <v>2074277.7735999997</v>
      </c>
      <c r="AD74" s="86">
        <f t="shared" ref="AD74:AD93" si="50">AC74-K74</f>
        <v>103713.88868000009</v>
      </c>
    </row>
    <row r="75" spans="1:30" ht="15" customHeight="1" x14ac:dyDescent="0.25">
      <c r="A75" s="241" t="s">
        <v>73</v>
      </c>
      <c r="B75" s="188">
        <v>100</v>
      </c>
      <c r="C75" s="242">
        <v>2</v>
      </c>
      <c r="D75" s="243" t="s">
        <v>75</v>
      </c>
      <c r="E75" s="2">
        <v>1</v>
      </c>
      <c r="F75" s="2">
        <v>3</v>
      </c>
      <c r="G75" s="14">
        <v>80.22</v>
      </c>
      <c r="H75" s="15">
        <v>13.84</v>
      </c>
      <c r="I75" s="2">
        <v>4.51</v>
      </c>
      <c r="J75" s="200">
        <v>1</v>
      </c>
      <c r="K75" s="72">
        <f t="shared" ref="K75:K131" si="51">AB75*$O$9*M75</f>
        <v>1479911.7717119998</v>
      </c>
      <c r="L75" s="71" t="s">
        <v>54</v>
      </c>
      <c r="M75" s="125">
        <v>0.95</v>
      </c>
      <c r="N75" s="123">
        <f t="shared" si="44"/>
        <v>1183929.4173695999</v>
      </c>
      <c r="O75" s="123">
        <f t="shared" si="45"/>
        <v>1530228.7719502079</v>
      </c>
      <c r="P75" s="75">
        <f t="shared" si="46"/>
        <v>346299.35458060796</v>
      </c>
      <c r="Q75" s="75">
        <f t="shared" si="47"/>
        <v>1183929.4173695999</v>
      </c>
      <c r="R75" s="257" t="s">
        <v>127</v>
      </c>
      <c r="S75" s="110">
        <v>105</v>
      </c>
      <c r="T75" s="85">
        <v>57</v>
      </c>
      <c r="V75" s="30">
        <f t="shared" si="29"/>
        <v>4.1520000000000001</v>
      </c>
      <c r="W75" s="30">
        <f t="shared" si="42"/>
        <v>0</v>
      </c>
      <c r="X75" s="30">
        <f t="shared" si="30"/>
        <v>0</v>
      </c>
      <c r="Y75" s="30">
        <f t="shared" si="43"/>
        <v>88.176000000000002</v>
      </c>
      <c r="Z75" s="30">
        <f t="shared" si="48"/>
        <v>90</v>
      </c>
      <c r="AA75" s="30">
        <f t="shared" si="39"/>
        <v>0</v>
      </c>
      <c r="AB75" s="30">
        <f t="shared" si="10"/>
        <v>88.176000000000002</v>
      </c>
      <c r="AC75" s="95">
        <f t="shared" si="49"/>
        <v>1557801.8649599999</v>
      </c>
      <c r="AD75" s="86">
        <f t="shared" si="50"/>
        <v>77890.093248000136</v>
      </c>
    </row>
    <row r="76" spans="1:30" ht="15" x14ac:dyDescent="0.25">
      <c r="A76" s="221" t="s">
        <v>73</v>
      </c>
      <c r="B76" s="188">
        <v>100</v>
      </c>
      <c r="C76" s="222">
        <v>3</v>
      </c>
      <c r="D76" s="223" t="s">
        <v>76</v>
      </c>
      <c r="E76" s="224">
        <v>1</v>
      </c>
      <c r="F76" s="224">
        <v>5</v>
      </c>
      <c r="G76" s="225">
        <v>130.59</v>
      </c>
      <c r="H76" s="244">
        <v>12.21</v>
      </c>
      <c r="I76" s="2">
        <v>6.24</v>
      </c>
      <c r="J76" s="200">
        <v>1</v>
      </c>
      <c r="K76" s="72">
        <f t="shared" si="51"/>
        <v>2314636.3227260001</v>
      </c>
      <c r="L76" s="71" t="s">
        <v>54</v>
      </c>
      <c r="M76" s="125">
        <v>0.95</v>
      </c>
      <c r="N76" s="123">
        <f t="shared" si="44"/>
        <v>2014636.3227260001</v>
      </c>
      <c r="O76" s="123">
        <f t="shared" si="45"/>
        <v>2393333.9576986842</v>
      </c>
      <c r="P76" s="75">
        <f t="shared" si="46"/>
        <v>378697.63497268409</v>
      </c>
      <c r="Q76" s="75">
        <f t="shared" si="47"/>
        <v>2014636.3227260001</v>
      </c>
      <c r="R76" s="257" t="s">
        <v>128</v>
      </c>
      <c r="S76" s="207">
        <v>116</v>
      </c>
      <c r="T76" s="85">
        <v>59</v>
      </c>
      <c r="U76" s="86"/>
      <c r="V76" s="30">
        <f t="shared" si="29"/>
        <v>3.6630000000000003</v>
      </c>
      <c r="W76" s="30">
        <f t="shared" si="42"/>
        <v>0</v>
      </c>
      <c r="X76" s="30">
        <f t="shared" si="30"/>
        <v>0</v>
      </c>
      <c r="Y76" s="30">
        <f t="shared" si="43"/>
        <v>138.74900000000002</v>
      </c>
      <c r="Z76" s="30">
        <f t="shared" si="48"/>
        <v>125</v>
      </c>
      <c r="AA76" s="30">
        <f t="shared" si="39"/>
        <v>0.83850000000000047</v>
      </c>
      <c r="AB76" s="30">
        <f t="shared" si="10"/>
        <v>137.91050000000001</v>
      </c>
      <c r="AC76" s="95">
        <f t="shared" si="49"/>
        <v>2436459.2870800002</v>
      </c>
      <c r="AD76" s="86">
        <f t="shared" si="50"/>
        <v>121822.96435400005</v>
      </c>
    </row>
    <row r="77" spans="1:30" ht="15.75" thickBot="1" x14ac:dyDescent="0.3">
      <c r="A77" s="227" t="s">
        <v>73</v>
      </c>
      <c r="B77" s="65">
        <v>100</v>
      </c>
      <c r="C77" s="228">
        <v>4</v>
      </c>
      <c r="D77" s="80" t="s">
        <v>77</v>
      </c>
      <c r="E77" s="80">
        <v>1</v>
      </c>
      <c r="F77" s="80">
        <v>5</v>
      </c>
      <c r="G77" s="230">
        <v>129.22999999999999</v>
      </c>
      <c r="H77" s="245">
        <v>15.7</v>
      </c>
      <c r="I77" s="2">
        <v>8.68</v>
      </c>
      <c r="J77" s="200">
        <v>1</v>
      </c>
      <c r="K77" s="72">
        <f t="shared" si="51"/>
        <v>2329187.7143299999</v>
      </c>
      <c r="L77" s="71" t="s">
        <v>54</v>
      </c>
      <c r="M77" s="125">
        <v>0.95</v>
      </c>
      <c r="N77" s="123">
        <f t="shared" si="44"/>
        <v>2029187.7143299999</v>
      </c>
      <c r="O77" s="123">
        <f t="shared" si="45"/>
        <v>2408380.09661722</v>
      </c>
      <c r="P77" s="75">
        <f t="shared" si="46"/>
        <v>379192.3822872201</v>
      </c>
      <c r="Q77" s="75">
        <f t="shared" si="47"/>
        <v>2029187.7143299999</v>
      </c>
      <c r="R77" s="258" t="s">
        <v>129</v>
      </c>
      <c r="S77" s="246">
        <v>91</v>
      </c>
      <c r="T77" s="85">
        <v>60</v>
      </c>
      <c r="U77" s="86"/>
      <c r="V77" s="30">
        <f t="shared" ref="V77:V108" si="52">IF(H77&gt;$V$10,$V$10*$V$11,H77*$V$11)</f>
        <v>4.71</v>
      </c>
      <c r="W77" s="30">
        <f t="shared" si="42"/>
        <v>0</v>
      </c>
      <c r="X77" s="30">
        <f t="shared" ref="X77:X108" si="53">IF(AND(H77&gt;$X$10,H77&lt;$X$8),(H77-$X$10)*$X$11,IF(H77&gt;$X$8,($X$8-$X$10)*$X$11,0))</f>
        <v>0</v>
      </c>
      <c r="Y77" s="30">
        <f t="shared" si="43"/>
        <v>139.41200000000001</v>
      </c>
      <c r="Z77" s="30">
        <f t="shared" si="48"/>
        <v>125</v>
      </c>
      <c r="AA77" s="30">
        <f t="shared" si="39"/>
        <v>0.6344999999999984</v>
      </c>
      <c r="AB77" s="30">
        <f t="shared" si="10"/>
        <v>138.7775</v>
      </c>
      <c r="AC77" s="95">
        <f t="shared" si="49"/>
        <v>2451776.5414</v>
      </c>
      <c r="AD77" s="86">
        <f t="shared" si="50"/>
        <v>122588.82707000012</v>
      </c>
    </row>
    <row r="78" spans="1:30" ht="15" customHeight="1" x14ac:dyDescent="0.25">
      <c r="A78" s="237" t="s">
        <v>73</v>
      </c>
      <c r="B78" s="188">
        <v>100</v>
      </c>
      <c r="C78" s="238">
        <v>5</v>
      </c>
      <c r="D78" s="239" t="s">
        <v>74</v>
      </c>
      <c r="E78" s="182">
        <v>2</v>
      </c>
      <c r="F78" s="182">
        <v>4</v>
      </c>
      <c r="G78" s="183">
        <v>109.45</v>
      </c>
      <c r="H78" s="240">
        <v>13.28</v>
      </c>
      <c r="I78" s="2">
        <v>6.12</v>
      </c>
      <c r="J78" s="200">
        <v>1</v>
      </c>
      <c r="K78" s="72">
        <f t="shared" si="51"/>
        <v>1978485.7497839998</v>
      </c>
      <c r="L78" s="71" t="s">
        <v>54</v>
      </c>
      <c r="M78" s="125">
        <v>0.95</v>
      </c>
      <c r="N78" s="123">
        <f t="shared" si="44"/>
        <v>1678485.7497839998</v>
      </c>
      <c r="O78" s="123">
        <f t="shared" si="45"/>
        <v>2045754.2652766558</v>
      </c>
      <c r="P78" s="75">
        <f t="shared" si="46"/>
        <v>367268.51549265604</v>
      </c>
      <c r="Q78" s="75">
        <f t="shared" si="47"/>
        <v>1678485.7497839998</v>
      </c>
      <c r="R78" s="257" t="s">
        <v>126</v>
      </c>
      <c r="S78" s="207">
        <v>20</v>
      </c>
      <c r="T78" s="85">
        <v>56</v>
      </c>
      <c r="V78" s="30">
        <f t="shared" si="52"/>
        <v>3.9839999999999995</v>
      </c>
      <c r="W78" s="30">
        <f t="shared" si="42"/>
        <v>0</v>
      </c>
      <c r="X78" s="30">
        <f t="shared" si="53"/>
        <v>0</v>
      </c>
      <c r="Y78" s="30">
        <f t="shared" si="43"/>
        <v>117.88200000000001</v>
      </c>
      <c r="Z78" s="30">
        <f t="shared" si="48"/>
        <v>110</v>
      </c>
      <c r="AA78" s="30">
        <f t="shared" si="39"/>
        <v>0</v>
      </c>
      <c r="AB78" s="30">
        <f t="shared" si="10"/>
        <v>117.88200000000001</v>
      </c>
      <c r="AC78" s="95">
        <f t="shared" si="49"/>
        <v>2082616.5787199999</v>
      </c>
      <c r="AD78" s="86">
        <f t="shared" si="50"/>
        <v>104130.82893600012</v>
      </c>
    </row>
    <row r="79" spans="1:30" ht="15" customHeight="1" x14ac:dyDescent="0.25">
      <c r="A79" s="241" t="s">
        <v>73</v>
      </c>
      <c r="B79" s="188">
        <v>100</v>
      </c>
      <c r="C79" s="242">
        <v>6</v>
      </c>
      <c r="D79" s="243" t="s">
        <v>75</v>
      </c>
      <c r="E79" s="2">
        <v>2</v>
      </c>
      <c r="F79" s="2">
        <v>3</v>
      </c>
      <c r="G79" s="14">
        <v>80.22</v>
      </c>
      <c r="H79" s="15">
        <v>13.84</v>
      </c>
      <c r="I79" s="2">
        <v>4.66</v>
      </c>
      <c r="J79" s="200">
        <v>1</v>
      </c>
      <c r="K79" s="72">
        <f t="shared" si="51"/>
        <v>1480918.788432</v>
      </c>
      <c r="L79" s="71" t="s">
        <v>54</v>
      </c>
      <c r="M79" s="125">
        <v>0.95</v>
      </c>
      <c r="N79" s="123">
        <f t="shared" si="44"/>
        <v>1184735.0307456001</v>
      </c>
      <c r="O79" s="123">
        <f t="shared" si="45"/>
        <v>1531270.027238688</v>
      </c>
      <c r="P79" s="75">
        <f t="shared" si="46"/>
        <v>346534.99649308785</v>
      </c>
      <c r="Q79" s="75">
        <f t="shared" si="47"/>
        <v>1184735.0307456001</v>
      </c>
      <c r="R79" s="257" t="s">
        <v>127</v>
      </c>
      <c r="S79" s="110">
        <v>110</v>
      </c>
      <c r="T79" s="85">
        <v>55</v>
      </c>
      <c r="V79" s="30">
        <f t="shared" si="52"/>
        <v>4.1520000000000001</v>
      </c>
      <c r="W79" s="30">
        <f t="shared" si="42"/>
        <v>0</v>
      </c>
      <c r="X79" s="30">
        <f t="shared" si="53"/>
        <v>0</v>
      </c>
      <c r="Y79" s="30">
        <f t="shared" si="43"/>
        <v>88.236000000000004</v>
      </c>
      <c r="Z79" s="30">
        <f t="shared" si="48"/>
        <v>90</v>
      </c>
      <c r="AA79" s="30">
        <f t="shared" si="39"/>
        <v>0</v>
      </c>
      <c r="AB79" s="30">
        <f t="shared" ref="AB79:AB142" si="54">Y79-AA79</f>
        <v>88.236000000000004</v>
      </c>
      <c r="AC79" s="95">
        <f t="shared" si="49"/>
        <v>1558861.8825600001</v>
      </c>
      <c r="AD79" s="86">
        <f t="shared" si="50"/>
        <v>77943.094128000084</v>
      </c>
    </row>
    <row r="80" spans="1:30" ht="15" x14ac:dyDescent="0.25">
      <c r="A80" s="221" t="s">
        <v>73</v>
      </c>
      <c r="B80" s="188">
        <v>100</v>
      </c>
      <c r="C80" s="222">
        <v>7</v>
      </c>
      <c r="D80" s="223" t="s">
        <v>76</v>
      </c>
      <c r="E80" s="224">
        <v>2</v>
      </c>
      <c r="F80" s="224">
        <v>5</v>
      </c>
      <c r="G80" s="225">
        <v>130.59</v>
      </c>
      <c r="H80" s="244">
        <v>12.21</v>
      </c>
      <c r="I80" s="2">
        <v>6.24</v>
      </c>
      <c r="J80" s="200">
        <v>1</v>
      </c>
      <c r="K80" s="72">
        <f t="shared" si="51"/>
        <v>2314636.3227260001</v>
      </c>
      <c r="L80" s="71" t="s">
        <v>54</v>
      </c>
      <c r="M80" s="125">
        <v>0.95</v>
      </c>
      <c r="N80" s="123">
        <f t="shared" si="44"/>
        <v>2014636.3227260001</v>
      </c>
      <c r="O80" s="123">
        <f t="shared" si="45"/>
        <v>2393333.9576986842</v>
      </c>
      <c r="P80" s="75">
        <f t="shared" si="46"/>
        <v>378697.63497268409</v>
      </c>
      <c r="Q80" s="75">
        <f t="shared" si="47"/>
        <v>2014636.3227260001</v>
      </c>
      <c r="R80" s="257" t="s">
        <v>128</v>
      </c>
      <c r="S80" s="207">
        <v>115</v>
      </c>
      <c r="T80" s="85">
        <v>61</v>
      </c>
      <c r="U80" s="86"/>
      <c r="V80" s="30">
        <f t="shared" si="52"/>
        <v>3.6630000000000003</v>
      </c>
      <c r="W80" s="30">
        <f t="shared" si="42"/>
        <v>0</v>
      </c>
      <c r="X80" s="30">
        <f t="shared" si="53"/>
        <v>0</v>
      </c>
      <c r="Y80" s="30">
        <f t="shared" si="43"/>
        <v>138.74900000000002</v>
      </c>
      <c r="Z80" s="30">
        <f t="shared" si="48"/>
        <v>125</v>
      </c>
      <c r="AA80" s="30">
        <f t="shared" si="39"/>
        <v>0.83850000000000047</v>
      </c>
      <c r="AB80" s="30">
        <f t="shared" si="54"/>
        <v>137.91050000000001</v>
      </c>
      <c r="AC80" s="95">
        <f t="shared" si="49"/>
        <v>2436459.2870800002</v>
      </c>
      <c r="AD80" s="86">
        <f t="shared" si="50"/>
        <v>121822.96435400005</v>
      </c>
    </row>
    <row r="81" spans="1:30" ht="15.75" customHeight="1" thickBot="1" x14ac:dyDescent="0.3">
      <c r="A81" s="227" t="s">
        <v>73</v>
      </c>
      <c r="B81" s="65">
        <v>100</v>
      </c>
      <c r="C81" s="228">
        <v>8</v>
      </c>
      <c r="D81" s="80" t="s">
        <v>77</v>
      </c>
      <c r="E81" s="80">
        <v>2</v>
      </c>
      <c r="F81" s="80">
        <v>5</v>
      </c>
      <c r="G81" s="230">
        <v>129.22999999999999</v>
      </c>
      <c r="H81" s="245">
        <v>15.7</v>
      </c>
      <c r="I81" s="2">
        <v>8.68</v>
      </c>
      <c r="J81" s="200">
        <v>1</v>
      </c>
      <c r="K81" s="72">
        <f t="shared" si="51"/>
        <v>2329187.7143299999</v>
      </c>
      <c r="L81" s="71" t="s">
        <v>54</v>
      </c>
      <c r="M81" s="125">
        <v>0.95</v>
      </c>
      <c r="N81" s="123">
        <f t="shared" si="44"/>
        <v>2029187.7143299999</v>
      </c>
      <c r="O81" s="123">
        <f t="shared" si="45"/>
        <v>2408380.09661722</v>
      </c>
      <c r="P81" s="75">
        <f t="shared" si="46"/>
        <v>379192.3822872201</v>
      </c>
      <c r="Q81" s="75">
        <f t="shared" si="47"/>
        <v>2029187.7143299999</v>
      </c>
      <c r="R81" s="258" t="s">
        <v>129</v>
      </c>
      <c r="S81" s="213">
        <v>142</v>
      </c>
      <c r="T81" s="85">
        <v>62</v>
      </c>
      <c r="U81" s="86"/>
      <c r="V81" s="30">
        <f t="shared" si="52"/>
        <v>4.71</v>
      </c>
      <c r="W81" s="30">
        <f t="shared" si="42"/>
        <v>0</v>
      </c>
      <c r="X81" s="30">
        <f t="shared" si="53"/>
        <v>0</v>
      </c>
      <c r="Y81" s="30">
        <f t="shared" si="43"/>
        <v>139.41200000000001</v>
      </c>
      <c r="Z81" s="30">
        <f t="shared" si="48"/>
        <v>125</v>
      </c>
      <c r="AA81" s="30">
        <f t="shared" si="39"/>
        <v>0.6344999999999984</v>
      </c>
      <c r="AB81" s="30">
        <f t="shared" si="54"/>
        <v>138.7775</v>
      </c>
      <c r="AC81" s="95">
        <f t="shared" si="49"/>
        <v>2451776.5414</v>
      </c>
      <c r="AD81" s="86">
        <f t="shared" si="50"/>
        <v>122588.82707000012</v>
      </c>
    </row>
    <row r="82" spans="1:30" ht="15" x14ac:dyDescent="0.25">
      <c r="A82" s="237" t="s">
        <v>73</v>
      </c>
      <c r="B82" s="188">
        <v>100</v>
      </c>
      <c r="C82" s="238">
        <v>9</v>
      </c>
      <c r="D82" s="239" t="s">
        <v>74</v>
      </c>
      <c r="E82" s="182">
        <v>3</v>
      </c>
      <c r="F82" s="182">
        <v>4</v>
      </c>
      <c r="G82" s="183">
        <v>109.45</v>
      </c>
      <c r="H82" s="240">
        <v>13.28</v>
      </c>
      <c r="I82" s="2">
        <v>5.65</v>
      </c>
      <c r="J82" s="200">
        <v>1</v>
      </c>
      <c r="K82" s="72">
        <f t="shared" si="51"/>
        <v>1975330.4307279999</v>
      </c>
      <c r="L82" s="71" t="s">
        <v>54</v>
      </c>
      <c r="M82" s="125">
        <v>0.95</v>
      </c>
      <c r="N82" s="123">
        <f t="shared" si="44"/>
        <v>1675330.4307279999</v>
      </c>
      <c r="O82" s="123">
        <f t="shared" si="45"/>
        <v>2042491.6653727519</v>
      </c>
      <c r="P82" s="75">
        <f t="shared" si="46"/>
        <v>367161.234644752</v>
      </c>
      <c r="Q82" s="75">
        <f t="shared" si="47"/>
        <v>1675330.4307279999</v>
      </c>
      <c r="R82" s="257" t="s">
        <v>126</v>
      </c>
      <c r="S82" s="207">
        <v>19</v>
      </c>
      <c r="T82" s="85">
        <v>54</v>
      </c>
      <c r="V82" s="30">
        <f t="shared" si="52"/>
        <v>3.9839999999999995</v>
      </c>
      <c r="W82" s="30">
        <f t="shared" si="42"/>
        <v>0</v>
      </c>
      <c r="X82" s="30">
        <f t="shared" si="53"/>
        <v>0</v>
      </c>
      <c r="Y82" s="30">
        <f t="shared" si="43"/>
        <v>117.694</v>
      </c>
      <c r="Z82" s="30">
        <f t="shared" si="48"/>
        <v>110</v>
      </c>
      <c r="AA82" s="30">
        <f t="shared" si="39"/>
        <v>0</v>
      </c>
      <c r="AB82" s="30">
        <f t="shared" si="54"/>
        <v>117.694</v>
      </c>
      <c r="AC82" s="95">
        <f t="shared" si="49"/>
        <v>2079295.1902399999</v>
      </c>
      <c r="AD82" s="86">
        <f t="shared" si="50"/>
        <v>103964.75951200002</v>
      </c>
    </row>
    <row r="83" spans="1:30" ht="15" customHeight="1" x14ac:dyDescent="0.25">
      <c r="A83" s="241" t="s">
        <v>73</v>
      </c>
      <c r="B83" s="188">
        <v>100</v>
      </c>
      <c r="C83" s="242">
        <v>10</v>
      </c>
      <c r="D83" s="243" t="s">
        <v>75</v>
      </c>
      <c r="E83" s="2">
        <v>3</v>
      </c>
      <c r="F83" s="2">
        <v>3</v>
      </c>
      <c r="G83" s="14">
        <v>80.22</v>
      </c>
      <c r="H83" s="15">
        <v>13.84</v>
      </c>
      <c r="I83" s="2">
        <v>6.12</v>
      </c>
      <c r="J83" s="200">
        <v>1</v>
      </c>
      <c r="K83" s="72">
        <f t="shared" si="51"/>
        <v>1490720.4178399998</v>
      </c>
      <c r="L83" s="71" t="s">
        <v>54</v>
      </c>
      <c r="M83" s="125">
        <v>0.95</v>
      </c>
      <c r="N83" s="123">
        <f t="shared" si="44"/>
        <v>1192576.3342719998</v>
      </c>
      <c r="O83" s="123">
        <f t="shared" si="45"/>
        <v>1541404.9120465599</v>
      </c>
      <c r="P83" s="75">
        <f t="shared" si="46"/>
        <v>348828.57777456008</v>
      </c>
      <c r="Q83" s="75">
        <f t="shared" si="47"/>
        <v>1192576.3342719998</v>
      </c>
      <c r="R83" s="257" t="s">
        <v>127</v>
      </c>
      <c r="S83" s="110">
        <v>111</v>
      </c>
      <c r="T83" s="85">
        <v>53</v>
      </c>
      <c r="V83" s="30">
        <f t="shared" si="52"/>
        <v>4.1520000000000001</v>
      </c>
      <c r="W83" s="30">
        <f t="shared" si="42"/>
        <v>0</v>
      </c>
      <c r="X83" s="30">
        <f t="shared" si="53"/>
        <v>0</v>
      </c>
      <c r="Y83" s="30">
        <f t="shared" si="43"/>
        <v>88.82</v>
      </c>
      <c r="Z83" s="30">
        <f t="shared" si="48"/>
        <v>90</v>
      </c>
      <c r="AA83" s="30">
        <f t="shared" si="39"/>
        <v>0</v>
      </c>
      <c r="AB83" s="30">
        <f t="shared" si="54"/>
        <v>88.82</v>
      </c>
      <c r="AC83" s="95">
        <f t="shared" si="49"/>
        <v>1569179.3871999998</v>
      </c>
      <c r="AD83" s="86">
        <f t="shared" si="50"/>
        <v>78458.969359999988</v>
      </c>
    </row>
    <row r="84" spans="1:30" ht="15" customHeight="1" x14ac:dyDescent="0.25">
      <c r="A84" s="221" t="s">
        <v>73</v>
      </c>
      <c r="B84" s="188">
        <v>100</v>
      </c>
      <c r="C84" s="222">
        <v>11</v>
      </c>
      <c r="D84" s="223" t="s">
        <v>76</v>
      </c>
      <c r="E84" s="224">
        <v>3</v>
      </c>
      <c r="F84" s="224">
        <v>5</v>
      </c>
      <c r="G84" s="225">
        <v>130.59</v>
      </c>
      <c r="H84" s="244">
        <v>12.21</v>
      </c>
      <c r="I84" s="2">
        <v>6.24</v>
      </c>
      <c r="J84" s="200">
        <v>1</v>
      </c>
      <c r="K84" s="72">
        <f t="shared" si="51"/>
        <v>2314636.3227260001</v>
      </c>
      <c r="L84" s="71" t="s">
        <v>54</v>
      </c>
      <c r="M84" s="125">
        <v>0.95</v>
      </c>
      <c r="N84" s="123">
        <f t="shared" si="44"/>
        <v>2014636.3227260001</v>
      </c>
      <c r="O84" s="123">
        <f t="shared" si="45"/>
        <v>2393333.9576986842</v>
      </c>
      <c r="P84" s="75">
        <f t="shared" si="46"/>
        <v>378697.63497268409</v>
      </c>
      <c r="Q84" s="75">
        <f t="shared" si="47"/>
        <v>2014636.3227260001</v>
      </c>
      <c r="R84" s="257" t="s">
        <v>128</v>
      </c>
      <c r="S84" s="208">
        <v>90</v>
      </c>
      <c r="T84" s="85">
        <v>63</v>
      </c>
      <c r="U84" s="86"/>
      <c r="V84" s="30">
        <f t="shared" si="52"/>
        <v>3.6630000000000003</v>
      </c>
      <c r="W84" s="30">
        <f t="shared" si="42"/>
        <v>0</v>
      </c>
      <c r="X84" s="30">
        <f t="shared" si="53"/>
        <v>0</v>
      </c>
      <c r="Y84" s="30">
        <f t="shared" si="43"/>
        <v>138.74900000000002</v>
      </c>
      <c r="Z84" s="30">
        <f t="shared" si="48"/>
        <v>125</v>
      </c>
      <c r="AA84" s="30">
        <f t="shared" si="39"/>
        <v>0.83850000000000047</v>
      </c>
      <c r="AB84" s="30">
        <f t="shared" si="54"/>
        <v>137.91050000000001</v>
      </c>
      <c r="AC84" s="95">
        <f t="shared" si="49"/>
        <v>2436459.2870800002</v>
      </c>
      <c r="AD84" s="86">
        <f t="shared" si="50"/>
        <v>121822.96435400005</v>
      </c>
    </row>
    <row r="85" spans="1:30" ht="15.75" thickBot="1" x14ac:dyDescent="0.3">
      <c r="A85" s="227" t="s">
        <v>73</v>
      </c>
      <c r="B85" s="65">
        <v>100</v>
      </c>
      <c r="C85" s="228">
        <v>12</v>
      </c>
      <c r="D85" s="80" t="s">
        <v>77</v>
      </c>
      <c r="E85" s="80">
        <v>3</v>
      </c>
      <c r="F85" s="80">
        <v>5</v>
      </c>
      <c r="G85" s="230">
        <v>129.22999999999999</v>
      </c>
      <c r="H85" s="245">
        <v>15.7</v>
      </c>
      <c r="I85" s="2">
        <v>8.68</v>
      </c>
      <c r="J85" s="200">
        <v>1</v>
      </c>
      <c r="K85" s="72">
        <f t="shared" si="51"/>
        <v>2329187.7143299999</v>
      </c>
      <c r="L85" s="71" t="s">
        <v>54</v>
      </c>
      <c r="M85" s="125">
        <v>0.95</v>
      </c>
      <c r="N85" s="123">
        <f t="shared" si="44"/>
        <v>2029187.7143299999</v>
      </c>
      <c r="O85" s="123">
        <f t="shared" si="45"/>
        <v>2408380.09661722</v>
      </c>
      <c r="P85" s="75">
        <f t="shared" si="46"/>
        <v>379192.3822872201</v>
      </c>
      <c r="Q85" s="75">
        <f t="shared" si="47"/>
        <v>2029187.7143299999</v>
      </c>
      <c r="R85" s="258" t="s">
        <v>129</v>
      </c>
      <c r="S85" s="213">
        <v>89</v>
      </c>
      <c r="T85" s="85">
        <v>64</v>
      </c>
      <c r="U85" s="86"/>
      <c r="V85" s="30">
        <f t="shared" si="52"/>
        <v>4.71</v>
      </c>
      <c r="W85" s="30">
        <f t="shared" si="42"/>
        <v>0</v>
      </c>
      <c r="X85" s="30">
        <f t="shared" si="53"/>
        <v>0</v>
      </c>
      <c r="Y85" s="30">
        <f t="shared" si="43"/>
        <v>139.41200000000001</v>
      </c>
      <c r="Z85" s="30">
        <f t="shared" si="48"/>
        <v>125</v>
      </c>
      <c r="AA85" s="30">
        <f t="shared" si="39"/>
        <v>0.6344999999999984</v>
      </c>
      <c r="AB85" s="30">
        <f t="shared" si="54"/>
        <v>138.7775</v>
      </c>
      <c r="AC85" s="95">
        <f t="shared" si="49"/>
        <v>2451776.5414</v>
      </c>
      <c r="AD85" s="86">
        <f t="shared" si="50"/>
        <v>122588.82707000012</v>
      </c>
    </row>
    <row r="86" spans="1:30" ht="15" x14ac:dyDescent="0.25">
      <c r="A86" s="237" t="s">
        <v>73</v>
      </c>
      <c r="B86" s="188">
        <v>100</v>
      </c>
      <c r="C86" s="238">
        <v>13</v>
      </c>
      <c r="D86" s="239" t="s">
        <v>74</v>
      </c>
      <c r="E86" s="182">
        <v>4</v>
      </c>
      <c r="F86" s="182">
        <v>4</v>
      </c>
      <c r="G86" s="183">
        <v>109.45</v>
      </c>
      <c r="H86" s="240">
        <v>13.28</v>
      </c>
      <c r="I86" s="2">
        <v>5.77</v>
      </c>
      <c r="J86" s="200">
        <v>1</v>
      </c>
      <c r="K86" s="72">
        <f t="shared" si="51"/>
        <v>1986536.7601255998</v>
      </c>
      <c r="L86" s="128" t="s">
        <v>54</v>
      </c>
      <c r="M86" s="125">
        <v>0.95499999999999996</v>
      </c>
      <c r="N86" s="123">
        <f t="shared" si="44"/>
        <v>1686536.7601255998</v>
      </c>
      <c r="O86" s="123">
        <f t="shared" si="45"/>
        <v>2054079.0099698703</v>
      </c>
      <c r="P86" s="75">
        <f t="shared" si="46"/>
        <v>367542.24984427053</v>
      </c>
      <c r="Q86" s="75">
        <f t="shared" si="47"/>
        <v>1686536.7601255998</v>
      </c>
      <c r="R86" s="257" t="s">
        <v>126</v>
      </c>
      <c r="S86" s="207">
        <v>21</v>
      </c>
      <c r="T86" s="85">
        <v>52</v>
      </c>
      <c r="V86" s="30">
        <f t="shared" si="52"/>
        <v>3.9839999999999995</v>
      </c>
      <c r="W86" s="30">
        <f t="shared" si="42"/>
        <v>0</v>
      </c>
      <c r="X86" s="30">
        <f t="shared" si="53"/>
        <v>0</v>
      </c>
      <c r="Y86" s="30">
        <f t="shared" si="43"/>
        <v>117.74199999999999</v>
      </c>
      <c r="Z86" s="30">
        <f t="shared" si="48"/>
        <v>110</v>
      </c>
      <c r="AA86" s="30">
        <f t="shared" si="39"/>
        <v>0</v>
      </c>
      <c r="AB86" s="30">
        <f t="shared" si="54"/>
        <v>117.74199999999999</v>
      </c>
      <c r="AC86" s="95">
        <f t="shared" si="49"/>
        <v>2080143.2043199998</v>
      </c>
      <c r="AD86" s="86">
        <f t="shared" si="50"/>
        <v>93606.444194399985</v>
      </c>
    </row>
    <row r="87" spans="1:30" ht="15" customHeight="1" x14ac:dyDescent="0.25">
      <c r="A87" s="241" t="s">
        <v>73</v>
      </c>
      <c r="B87" s="188">
        <v>100</v>
      </c>
      <c r="C87" s="242">
        <v>14</v>
      </c>
      <c r="D87" s="243" t="s">
        <v>75</v>
      </c>
      <c r="E87" s="2">
        <v>4</v>
      </c>
      <c r="F87" s="2">
        <v>3</v>
      </c>
      <c r="G87" s="14">
        <v>80.22</v>
      </c>
      <c r="H87" s="15">
        <v>13.84</v>
      </c>
      <c r="I87" s="2">
        <v>6.76</v>
      </c>
      <c r="J87" s="200">
        <v>1</v>
      </c>
      <c r="K87" s="72">
        <f t="shared" si="51"/>
        <v>1502885.5331567999</v>
      </c>
      <c r="L87" s="128" t="s">
        <v>54</v>
      </c>
      <c r="M87" s="125">
        <v>0.95499999999999996</v>
      </c>
      <c r="N87" s="123">
        <f t="shared" si="44"/>
        <v>1202885.5331567999</v>
      </c>
      <c r="O87" s="123">
        <f t="shared" si="45"/>
        <v>1553983.641284131</v>
      </c>
      <c r="P87" s="75">
        <f t="shared" si="46"/>
        <v>351098.10812733113</v>
      </c>
      <c r="Q87" s="75">
        <f t="shared" si="47"/>
        <v>1202885.5331567999</v>
      </c>
      <c r="R87" s="257" t="s">
        <v>127</v>
      </c>
      <c r="S87" s="110">
        <v>41</v>
      </c>
      <c r="T87" s="85">
        <v>51</v>
      </c>
      <c r="V87" s="30">
        <f t="shared" si="52"/>
        <v>4.1520000000000001</v>
      </c>
      <c r="W87" s="30">
        <f t="shared" si="42"/>
        <v>0</v>
      </c>
      <c r="X87" s="30">
        <f t="shared" si="53"/>
        <v>0</v>
      </c>
      <c r="Y87" s="30">
        <f t="shared" si="43"/>
        <v>89.075999999999993</v>
      </c>
      <c r="Z87" s="30">
        <f t="shared" si="48"/>
        <v>90</v>
      </c>
      <c r="AA87" s="30">
        <f t="shared" si="39"/>
        <v>0</v>
      </c>
      <c r="AB87" s="30">
        <f t="shared" si="54"/>
        <v>89.075999999999993</v>
      </c>
      <c r="AC87" s="95">
        <f t="shared" si="49"/>
        <v>1573702.1289599999</v>
      </c>
      <c r="AD87" s="86">
        <f t="shared" si="50"/>
        <v>70816.595803200034</v>
      </c>
    </row>
    <row r="88" spans="1:30" ht="15" x14ac:dyDescent="0.25">
      <c r="A88" s="221" t="s">
        <v>73</v>
      </c>
      <c r="B88" s="188">
        <v>100</v>
      </c>
      <c r="C88" s="222">
        <v>15</v>
      </c>
      <c r="D88" s="223" t="s">
        <v>76</v>
      </c>
      <c r="E88" s="224">
        <v>4</v>
      </c>
      <c r="F88" s="224">
        <v>5</v>
      </c>
      <c r="G88" s="225">
        <v>130.59</v>
      </c>
      <c r="H88" s="244">
        <v>12.21</v>
      </c>
      <c r="I88" s="2">
        <v>6.24</v>
      </c>
      <c r="J88" s="200">
        <v>1</v>
      </c>
      <c r="K88" s="72">
        <f t="shared" si="51"/>
        <v>2326818.6191614</v>
      </c>
      <c r="L88" s="128" t="s">
        <v>54</v>
      </c>
      <c r="M88" s="125">
        <v>0.95499999999999996</v>
      </c>
      <c r="N88" s="123">
        <f t="shared" si="44"/>
        <v>2026818.6191614</v>
      </c>
      <c r="O88" s="123">
        <f t="shared" si="45"/>
        <v>2405930.4522128878</v>
      </c>
      <c r="P88" s="75">
        <f t="shared" si="46"/>
        <v>379111.8330514878</v>
      </c>
      <c r="Q88" s="75">
        <f t="shared" si="47"/>
        <v>2026818.6191614</v>
      </c>
      <c r="R88" s="257" t="s">
        <v>128</v>
      </c>
      <c r="S88" s="208">
        <v>92</v>
      </c>
      <c r="T88" s="85">
        <v>65</v>
      </c>
      <c r="U88" s="86"/>
      <c r="V88" s="30">
        <f t="shared" si="52"/>
        <v>3.6630000000000003</v>
      </c>
      <c r="W88" s="30">
        <f t="shared" si="42"/>
        <v>0</v>
      </c>
      <c r="X88" s="30">
        <f t="shared" si="53"/>
        <v>0</v>
      </c>
      <c r="Y88" s="30">
        <f t="shared" si="43"/>
        <v>138.74900000000002</v>
      </c>
      <c r="Z88" s="30">
        <f t="shared" si="48"/>
        <v>125</v>
      </c>
      <c r="AA88" s="30">
        <f t="shared" si="39"/>
        <v>0.83850000000000047</v>
      </c>
      <c r="AB88" s="30">
        <f t="shared" si="54"/>
        <v>137.91050000000001</v>
      </c>
      <c r="AC88" s="95">
        <f t="shared" si="49"/>
        <v>2436459.2870800002</v>
      </c>
      <c r="AD88" s="86">
        <f t="shared" si="50"/>
        <v>109640.66791860014</v>
      </c>
    </row>
    <row r="89" spans="1:30" ht="15.75" customHeight="1" thickBot="1" x14ac:dyDescent="0.3">
      <c r="A89" s="227" t="s">
        <v>73</v>
      </c>
      <c r="B89" s="65">
        <v>100</v>
      </c>
      <c r="C89" s="228">
        <v>16</v>
      </c>
      <c r="D89" s="80" t="s">
        <v>77</v>
      </c>
      <c r="E89" s="80">
        <v>4</v>
      </c>
      <c r="F89" s="80">
        <v>5</v>
      </c>
      <c r="G89" s="230">
        <v>129.22999999999999</v>
      </c>
      <c r="H89" s="245">
        <v>15.7</v>
      </c>
      <c r="I89" s="2">
        <v>8.68</v>
      </c>
      <c r="J89" s="200">
        <v>2</v>
      </c>
      <c r="K89" s="72">
        <f t="shared" si="51"/>
        <v>2375190.4906369997</v>
      </c>
      <c r="L89" s="128" t="s">
        <v>54</v>
      </c>
      <c r="M89" s="125">
        <v>0.95499999999999996</v>
      </c>
      <c r="N89" s="123">
        <f t="shared" si="44"/>
        <v>2075190.4906369997</v>
      </c>
      <c r="O89" s="123">
        <f t="shared" si="45"/>
        <v>2455946.9673186578</v>
      </c>
      <c r="P89" s="75">
        <f t="shared" si="46"/>
        <v>380756.47668165807</v>
      </c>
      <c r="Q89" s="75">
        <f t="shared" si="47"/>
        <v>2075190.4906369997</v>
      </c>
      <c r="R89" s="258" t="s">
        <v>129</v>
      </c>
      <c r="S89" s="246" t="s">
        <v>112</v>
      </c>
      <c r="T89" s="85">
        <v>66</v>
      </c>
      <c r="U89" s="86"/>
      <c r="V89" s="30">
        <f t="shared" si="52"/>
        <v>4.71</v>
      </c>
      <c r="W89" s="30">
        <f t="shared" si="42"/>
        <v>0</v>
      </c>
      <c r="X89" s="30">
        <f t="shared" si="53"/>
        <v>0</v>
      </c>
      <c r="Y89" s="30">
        <f t="shared" si="43"/>
        <v>141.41200000000001</v>
      </c>
      <c r="Z89" s="30">
        <f t="shared" si="48"/>
        <v>125</v>
      </c>
      <c r="AA89" s="30">
        <f t="shared" si="39"/>
        <v>0.6344999999999984</v>
      </c>
      <c r="AB89" s="30">
        <f t="shared" si="54"/>
        <v>140.7775</v>
      </c>
      <c r="AC89" s="95">
        <f t="shared" si="49"/>
        <v>2487110.4613999999</v>
      </c>
      <c r="AD89" s="86">
        <f t="shared" si="50"/>
        <v>111919.97076300019</v>
      </c>
    </row>
    <row r="90" spans="1:30" ht="15" customHeight="1" x14ac:dyDescent="0.25">
      <c r="A90" s="237" t="s">
        <v>73</v>
      </c>
      <c r="B90" s="188">
        <v>100</v>
      </c>
      <c r="C90" s="238">
        <v>17</v>
      </c>
      <c r="D90" s="239" t="s">
        <v>74</v>
      </c>
      <c r="E90" s="182">
        <v>5</v>
      </c>
      <c r="F90" s="182">
        <v>4</v>
      </c>
      <c r="G90" s="183">
        <v>109.45</v>
      </c>
      <c r="H90" s="240">
        <v>13.28</v>
      </c>
      <c r="I90" s="2">
        <v>5.68</v>
      </c>
      <c r="J90" s="200">
        <v>1</v>
      </c>
      <c r="K90" s="72">
        <f t="shared" si="51"/>
        <v>1996326.9060095998</v>
      </c>
      <c r="L90" s="128" t="s">
        <v>54</v>
      </c>
      <c r="M90" s="125">
        <v>0.96</v>
      </c>
      <c r="N90" s="123">
        <f t="shared" si="44"/>
        <v>1696326.9060095998</v>
      </c>
      <c r="O90" s="123">
        <f t="shared" si="45"/>
        <v>2064202.0208139264</v>
      </c>
      <c r="P90" s="75">
        <f t="shared" si="46"/>
        <v>367875.11480432656</v>
      </c>
      <c r="Q90" s="75">
        <f t="shared" si="47"/>
        <v>1696326.9060095998</v>
      </c>
      <c r="R90" s="257" t="s">
        <v>126</v>
      </c>
      <c r="S90" s="207">
        <v>18</v>
      </c>
      <c r="T90" s="85">
        <v>50</v>
      </c>
      <c r="V90" s="30">
        <f t="shared" si="52"/>
        <v>3.9839999999999995</v>
      </c>
      <c r="W90" s="30">
        <f t="shared" si="42"/>
        <v>0</v>
      </c>
      <c r="X90" s="30">
        <f t="shared" si="53"/>
        <v>0</v>
      </c>
      <c r="Y90" s="30">
        <f t="shared" si="43"/>
        <v>117.706</v>
      </c>
      <c r="Z90" s="30">
        <f t="shared" si="48"/>
        <v>110</v>
      </c>
      <c r="AA90" s="30">
        <f t="shared" si="39"/>
        <v>0</v>
      </c>
      <c r="AB90" s="30">
        <f t="shared" si="54"/>
        <v>117.706</v>
      </c>
      <c r="AC90" s="95">
        <f t="shared" si="49"/>
        <v>2079507.1937599999</v>
      </c>
      <c r="AD90" s="86">
        <f t="shared" si="50"/>
        <v>83180.287750400137</v>
      </c>
    </row>
    <row r="91" spans="1:30" ht="15" customHeight="1" x14ac:dyDescent="0.25">
      <c r="A91" s="241" t="s">
        <v>73</v>
      </c>
      <c r="B91" s="188">
        <v>100</v>
      </c>
      <c r="C91" s="242">
        <v>18</v>
      </c>
      <c r="D91" s="243" t="s">
        <v>75</v>
      </c>
      <c r="E91" s="2">
        <v>5</v>
      </c>
      <c r="F91" s="2">
        <v>3</v>
      </c>
      <c r="G91" s="14">
        <v>80.22</v>
      </c>
      <c r="H91" s="15">
        <v>13.84</v>
      </c>
      <c r="I91" s="2">
        <v>5.84</v>
      </c>
      <c r="J91" s="200">
        <v>1</v>
      </c>
      <c r="K91" s="72">
        <f t="shared" si="51"/>
        <v>1504512.6601727998</v>
      </c>
      <c r="L91" s="128" t="s">
        <v>54</v>
      </c>
      <c r="M91" s="125">
        <v>0.96</v>
      </c>
      <c r="N91" s="123">
        <f t="shared" si="44"/>
        <v>1204512.6601727998</v>
      </c>
      <c r="O91" s="123">
        <f t="shared" si="45"/>
        <v>1555666.0906186751</v>
      </c>
      <c r="P91" s="75">
        <f t="shared" si="46"/>
        <v>351153.43044587527</v>
      </c>
      <c r="Q91" s="75">
        <f t="shared" si="47"/>
        <v>1204512.6601727998</v>
      </c>
      <c r="R91" s="257" t="s">
        <v>127</v>
      </c>
      <c r="S91" s="110">
        <v>63</v>
      </c>
      <c r="T91" s="85">
        <v>49</v>
      </c>
      <c r="V91" s="30">
        <f t="shared" si="52"/>
        <v>4.1520000000000001</v>
      </c>
      <c r="W91" s="30">
        <f t="shared" si="42"/>
        <v>0</v>
      </c>
      <c r="X91" s="30">
        <f t="shared" si="53"/>
        <v>0</v>
      </c>
      <c r="Y91" s="30">
        <f t="shared" si="43"/>
        <v>88.707999999999998</v>
      </c>
      <c r="Z91" s="30">
        <f t="shared" si="48"/>
        <v>90</v>
      </c>
      <c r="AA91" s="30">
        <f t="shared" si="39"/>
        <v>0</v>
      </c>
      <c r="AB91" s="30">
        <f t="shared" si="54"/>
        <v>88.707999999999998</v>
      </c>
      <c r="AC91" s="95">
        <f t="shared" si="49"/>
        <v>1567200.68768</v>
      </c>
      <c r="AD91" s="86">
        <f t="shared" si="50"/>
        <v>62688.027507200139</v>
      </c>
    </row>
    <row r="92" spans="1:30" ht="15" customHeight="1" x14ac:dyDescent="0.25">
      <c r="A92" s="221" t="s">
        <v>73</v>
      </c>
      <c r="B92" s="188">
        <v>100</v>
      </c>
      <c r="C92" s="222">
        <v>19</v>
      </c>
      <c r="D92" s="223" t="s">
        <v>76</v>
      </c>
      <c r="E92" s="224">
        <v>5</v>
      </c>
      <c r="F92" s="224">
        <v>5</v>
      </c>
      <c r="G92" s="225">
        <v>130.59</v>
      </c>
      <c r="H92" s="244">
        <v>12.21</v>
      </c>
      <c r="I92" s="2">
        <v>6.24</v>
      </c>
      <c r="J92" s="200">
        <v>2</v>
      </c>
      <c r="K92" s="72">
        <f t="shared" si="51"/>
        <v>2372921.4787968001</v>
      </c>
      <c r="L92" s="128" t="s">
        <v>54</v>
      </c>
      <c r="M92" s="125">
        <v>0.96</v>
      </c>
      <c r="N92" s="123">
        <f t="shared" si="44"/>
        <v>2072921.4787968001</v>
      </c>
      <c r="O92" s="123">
        <f t="shared" si="45"/>
        <v>2453600.8090758915</v>
      </c>
      <c r="P92" s="75">
        <f t="shared" si="46"/>
        <v>380679.33027909137</v>
      </c>
      <c r="Q92" s="75">
        <f t="shared" si="47"/>
        <v>2072921.4787968001</v>
      </c>
      <c r="R92" s="257" t="s">
        <v>128</v>
      </c>
      <c r="S92" s="207" t="s">
        <v>111</v>
      </c>
      <c r="T92" s="85">
        <v>67</v>
      </c>
      <c r="U92" s="86"/>
      <c r="V92" s="30">
        <f t="shared" si="52"/>
        <v>3.6630000000000003</v>
      </c>
      <c r="W92" s="30">
        <f t="shared" si="42"/>
        <v>0</v>
      </c>
      <c r="X92" s="30">
        <f t="shared" si="53"/>
        <v>0</v>
      </c>
      <c r="Y92" s="30">
        <f t="shared" si="43"/>
        <v>140.74900000000002</v>
      </c>
      <c r="Z92" s="30">
        <f t="shared" si="48"/>
        <v>125</v>
      </c>
      <c r="AA92" s="30">
        <f t="shared" si="39"/>
        <v>0.83850000000000047</v>
      </c>
      <c r="AB92" s="30">
        <f t="shared" si="54"/>
        <v>139.91050000000001</v>
      </c>
      <c r="AC92" s="95">
        <f t="shared" si="49"/>
        <v>2471793.2070800001</v>
      </c>
      <c r="AD92" s="86">
        <f t="shared" si="50"/>
        <v>98871.728283199947</v>
      </c>
    </row>
    <row r="93" spans="1:30" ht="15.75" customHeight="1" thickBot="1" x14ac:dyDescent="0.3">
      <c r="A93" s="227" t="s">
        <v>73</v>
      </c>
      <c r="B93" s="65">
        <v>100</v>
      </c>
      <c r="C93" s="228">
        <v>20</v>
      </c>
      <c r="D93" s="80" t="s">
        <v>77</v>
      </c>
      <c r="E93" s="80">
        <v>5</v>
      </c>
      <c r="F93" s="80">
        <v>5</v>
      </c>
      <c r="G93" s="230">
        <v>129.22999999999999</v>
      </c>
      <c r="H93" s="245">
        <v>15.7</v>
      </c>
      <c r="I93" s="2">
        <v>8.68</v>
      </c>
      <c r="J93" s="200">
        <v>2</v>
      </c>
      <c r="K93" s="72">
        <f t="shared" si="51"/>
        <v>2387626.0429439996</v>
      </c>
      <c r="L93" s="128" t="s">
        <v>54</v>
      </c>
      <c r="M93" s="125">
        <v>0.96</v>
      </c>
      <c r="N93" s="123">
        <f t="shared" si="44"/>
        <v>2087626.0429439996</v>
      </c>
      <c r="O93" s="123">
        <f t="shared" si="45"/>
        <v>2468805.3284040955</v>
      </c>
      <c r="P93" s="75">
        <f t="shared" si="46"/>
        <v>381179.28546009585</v>
      </c>
      <c r="Q93" s="75">
        <f t="shared" si="47"/>
        <v>2087626.0429439996</v>
      </c>
      <c r="R93" s="258" t="s">
        <v>129</v>
      </c>
      <c r="S93" s="246" t="s">
        <v>110</v>
      </c>
      <c r="T93" s="85">
        <v>68</v>
      </c>
      <c r="U93" s="86"/>
      <c r="V93" s="30">
        <f t="shared" si="52"/>
        <v>4.71</v>
      </c>
      <c r="W93" s="30">
        <f t="shared" si="42"/>
        <v>0</v>
      </c>
      <c r="X93" s="30">
        <f t="shared" si="53"/>
        <v>0</v>
      </c>
      <c r="Y93" s="30">
        <f t="shared" si="43"/>
        <v>141.41200000000001</v>
      </c>
      <c r="Z93" s="30">
        <f t="shared" si="48"/>
        <v>125</v>
      </c>
      <c r="AA93" s="30">
        <f t="shared" ref="AA93:AA124" si="55">IF(G93&gt;Z93,(G93-Z93)*0.15,0)</f>
        <v>0.6344999999999984</v>
      </c>
      <c r="AB93" s="30">
        <f t="shared" si="54"/>
        <v>140.7775</v>
      </c>
      <c r="AC93" s="95">
        <f t="shared" si="49"/>
        <v>2487110.4613999999</v>
      </c>
      <c r="AD93" s="86">
        <f t="shared" si="50"/>
        <v>99484.418456000276</v>
      </c>
    </row>
    <row r="94" spans="1:30" ht="15" x14ac:dyDescent="0.25">
      <c r="A94" s="237" t="s">
        <v>73</v>
      </c>
      <c r="B94" s="188">
        <v>100</v>
      </c>
      <c r="C94" s="238">
        <v>21</v>
      </c>
      <c r="D94" s="239" t="s">
        <v>74</v>
      </c>
      <c r="E94" s="182">
        <v>6</v>
      </c>
      <c r="F94" s="182">
        <v>4</v>
      </c>
      <c r="G94" s="183">
        <v>109.45</v>
      </c>
      <c r="H94" s="240">
        <v>13.28</v>
      </c>
      <c r="I94" s="2">
        <v>5.51</v>
      </c>
      <c r="J94" s="200">
        <v>1</v>
      </c>
      <c r="K94" s="72">
        <f t="shared" si="51"/>
        <v>2005565.1360631997</v>
      </c>
      <c r="L94" s="124" t="s">
        <v>54</v>
      </c>
      <c r="M94" s="125">
        <v>0.96499999999999997</v>
      </c>
      <c r="N94" s="123">
        <f t="shared" si="44"/>
        <v>1705565.1360631997</v>
      </c>
      <c r="O94" s="123">
        <f t="shared" si="45"/>
        <v>2073754.3506893485</v>
      </c>
      <c r="P94" s="75">
        <f t="shared" si="46"/>
        <v>368189.21462614881</v>
      </c>
      <c r="Q94" s="75">
        <f t="shared" si="47"/>
        <v>1705565.1360631997</v>
      </c>
      <c r="R94" s="257" t="s">
        <v>126</v>
      </c>
      <c r="S94" s="207">
        <v>24</v>
      </c>
      <c r="T94" s="85">
        <v>48</v>
      </c>
      <c r="V94" s="30">
        <f t="shared" si="52"/>
        <v>3.9839999999999995</v>
      </c>
      <c r="W94" s="30">
        <f t="shared" si="42"/>
        <v>0</v>
      </c>
      <c r="X94" s="30">
        <f t="shared" si="53"/>
        <v>0</v>
      </c>
      <c r="Y94" s="30">
        <f t="shared" si="43"/>
        <v>117.63799999999999</v>
      </c>
      <c r="Z94" s="30">
        <f t="shared" si="48"/>
        <v>110</v>
      </c>
      <c r="AA94" s="30">
        <f t="shared" si="55"/>
        <v>0</v>
      </c>
      <c r="AB94" s="30">
        <f t="shared" si="54"/>
        <v>117.63799999999999</v>
      </c>
    </row>
    <row r="95" spans="1:30" ht="15" customHeight="1" x14ac:dyDescent="0.25">
      <c r="A95" s="241" t="s">
        <v>73</v>
      </c>
      <c r="B95" s="188">
        <v>100</v>
      </c>
      <c r="C95" s="242">
        <v>22</v>
      </c>
      <c r="D95" s="243" t="s">
        <v>75</v>
      </c>
      <c r="E95" s="2">
        <v>6</v>
      </c>
      <c r="F95" s="2">
        <v>3</v>
      </c>
      <c r="G95" s="14">
        <v>80.22</v>
      </c>
      <c r="H95" s="15">
        <v>13.84</v>
      </c>
      <c r="I95" s="2">
        <v>5.51</v>
      </c>
      <c r="J95" s="200">
        <v>1</v>
      </c>
      <c r="K95" s="72">
        <f t="shared" si="51"/>
        <v>1510098.2462463998</v>
      </c>
      <c r="L95" s="128" t="s">
        <v>54</v>
      </c>
      <c r="M95" s="125">
        <v>0.96499999999999997</v>
      </c>
      <c r="N95" s="123">
        <f t="shared" si="44"/>
        <v>1210098.2462463998</v>
      </c>
      <c r="O95" s="123">
        <f t="shared" si="45"/>
        <v>1561441.5866187774</v>
      </c>
      <c r="P95" s="75">
        <f t="shared" si="46"/>
        <v>351343.34037237754</v>
      </c>
      <c r="Q95" s="75">
        <f t="shared" si="47"/>
        <v>1210098.2462463998</v>
      </c>
      <c r="R95" s="257" t="s">
        <v>127</v>
      </c>
      <c r="S95" s="110">
        <v>4</v>
      </c>
      <c r="T95" s="85">
        <v>47</v>
      </c>
      <c r="V95" s="30">
        <f t="shared" si="52"/>
        <v>4.1520000000000001</v>
      </c>
      <c r="W95" s="30">
        <f t="shared" si="42"/>
        <v>0</v>
      </c>
      <c r="X95" s="30">
        <f t="shared" si="53"/>
        <v>0</v>
      </c>
      <c r="Y95" s="30">
        <f t="shared" si="43"/>
        <v>88.575999999999993</v>
      </c>
      <c r="Z95" s="30">
        <f t="shared" si="48"/>
        <v>90</v>
      </c>
      <c r="AA95" s="30">
        <f t="shared" si="55"/>
        <v>0</v>
      </c>
      <c r="AB95" s="30">
        <f t="shared" si="54"/>
        <v>88.575999999999993</v>
      </c>
      <c r="AC95" s="95">
        <f>AB95*$O$9</f>
        <v>1564868.6489599999</v>
      </c>
      <c r="AD95" s="86">
        <f>AC95-K95</f>
        <v>54770.40271360008</v>
      </c>
    </row>
    <row r="96" spans="1:30" ht="15" customHeight="1" x14ac:dyDescent="0.25">
      <c r="A96" s="221" t="s">
        <v>73</v>
      </c>
      <c r="B96" s="188">
        <v>100</v>
      </c>
      <c r="C96" s="222">
        <v>23</v>
      </c>
      <c r="D96" s="223" t="s">
        <v>76</v>
      </c>
      <c r="E96" s="224">
        <v>6</v>
      </c>
      <c r="F96" s="224">
        <v>5</v>
      </c>
      <c r="G96" s="225">
        <v>130.59</v>
      </c>
      <c r="H96" s="244">
        <v>12.21</v>
      </c>
      <c r="I96" s="2">
        <v>6.24</v>
      </c>
      <c r="J96" s="200">
        <v>2</v>
      </c>
      <c r="K96" s="72">
        <f t="shared" si="51"/>
        <v>2385280.4448322002</v>
      </c>
      <c r="L96" s="128" t="s">
        <v>54</v>
      </c>
      <c r="M96" s="125">
        <v>0.96499999999999997</v>
      </c>
      <c r="N96" s="123">
        <f t="shared" si="44"/>
        <v>2085280.4448322002</v>
      </c>
      <c r="O96" s="123">
        <f t="shared" si="45"/>
        <v>2466379.9799564951</v>
      </c>
      <c r="P96" s="75">
        <f t="shared" si="46"/>
        <v>381099.53512429493</v>
      </c>
      <c r="Q96" s="75">
        <f t="shared" si="47"/>
        <v>2085280.4448322002</v>
      </c>
      <c r="R96" s="257" t="s">
        <v>128</v>
      </c>
      <c r="S96" s="207" t="s">
        <v>108</v>
      </c>
      <c r="T96" s="85">
        <v>69</v>
      </c>
      <c r="U96" s="86"/>
      <c r="V96" s="30">
        <f t="shared" si="52"/>
        <v>3.6630000000000003</v>
      </c>
      <c r="W96" s="30">
        <f t="shared" si="42"/>
        <v>0</v>
      </c>
      <c r="X96" s="30">
        <f t="shared" si="53"/>
        <v>0</v>
      </c>
      <c r="Y96" s="30">
        <f t="shared" si="43"/>
        <v>140.74900000000002</v>
      </c>
      <c r="Z96" s="30">
        <f t="shared" si="48"/>
        <v>125</v>
      </c>
      <c r="AA96" s="30">
        <f t="shared" si="55"/>
        <v>0.83850000000000047</v>
      </c>
      <c r="AB96" s="30">
        <f t="shared" si="54"/>
        <v>139.91050000000001</v>
      </c>
      <c r="AC96" s="95">
        <f>AB96*$O$9</f>
        <v>2471793.2070800001</v>
      </c>
      <c r="AD96" s="86">
        <f>AC96-K96</f>
        <v>86512.762247799896</v>
      </c>
    </row>
    <row r="97" spans="1:30" ht="15.75" thickBot="1" x14ac:dyDescent="0.3">
      <c r="A97" s="227" t="s">
        <v>73</v>
      </c>
      <c r="B97" s="65">
        <v>100</v>
      </c>
      <c r="C97" s="228">
        <v>24</v>
      </c>
      <c r="D97" s="80" t="s">
        <v>77</v>
      </c>
      <c r="E97" s="80">
        <v>6</v>
      </c>
      <c r="F97" s="80">
        <v>5</v>
      </c>
      <c r="G97" s="230">
        <v>129.22999999999999</v>
      </c>
      <c r="H97" s="245">
        <v>15.7</v>
      </c>
      <c r="I97" s="2">
        <v>8.68</v>
      </c>
      <c r="J97" s="200">
        <v>2</v>
      </c>
      <c r="K97" s="72">
        <f t="shared" si="51"/>
        <v>2400061.595251</v>
      </c>
      <c r="L97" s="128" t="s">
        <v>54</v>
      </c>
      <c r="M97" s="125">
        <v>0.96499999999999997</v>
      </c>
      <c r="N97" s="123">
        <f t="shared" si="44"/>
        <v>2100061.595251</v>
      </c>
      <c r="O97" s="123">
        <f t="shared" si="45"/>
        <v>2481663.6894895341</v>
      </c>
      <c r="P97" s="75">
        <f t="shared" si="46"/>
        <v>381602.0942385341</v>
      </c>
      <c r="Q97" s="75">
        <f t="shared" si="47"/>
        <v>2100061.595251</v>
      </c>
      <c r="R97" s="258" t="s">
        <v>129</v>
      </c>
      <c r="S97" s="246" t="s">
        <v>109</v>
      </c>
      <c r="T97" s="85">
        <v>70</v>
      </c>
      <c r="U97" s="86"/>
      <c r="V97" s="30">
        <f t="shared" si="52"/>
        <v>4.71</v>
      </c>
      <c r="W97" s="30">
        <f t="shared" si="42"/>
        <v>0</v>
      </c>
      <c r="X97" s="30">
        <f t="shared" si="53"/>
        <v>0</v>
      </c>
      <c r="Y97" s="30">
        <f t="shared" si="43"/>
        <v>141.41200000000001</v>
      </c>
      <c r="Z97" s="30">
        <f t="shared" si="48"/>
        <v>125</v>
      </c>
      <c r="AA97" s="30">
        <f t="shared" si="55"/>
        <v>0.6344999999999984</v>
      </c>
      <c r="AB97" s="30">
        <f t="shared" si="54"/>
        <v>140.7775</v>
      </c>
      <c r="AC97" s="95">
        <f>AB97*$O$9</f>
        <v>2487110.4613999999</v>
      </c>
      <c r="AD97" s="86">
        <f>AC97-K97</f>
        <v>87048.866148999892</v>
      </c>
    </row>
    <row r="98" spans="1:30" ht="15" customHeight="1" x14ac:dyDescent="0.25">
      <c r="A98" s="172" t="s">
        <v>73</v>
      </c>
      <c r="B98" s="188">
        <v>100</v>
      </c>
      <c r="C98" s="173">
        <v>25</v>
      </c>
      <c r="D98" s="174" t="s">
        <v>74</v>
      </c>
      <c r="E98" s="175">
        <v>7</v>
      </c>
      <c r="F98" s="175">
        <v>4</v>
      </c>
      <c r="G98" s="176">
        <v>109.45</v>
      </c>
      <c r="H98" s="196">
        <v>13.28</v>
      </c>
      <c r="I98" s="2">
        <v>5.72</v>
      </c>
      <c r="J98" s="200">
        <v>1</v>
      </c>
      <c r="K98" s="72">
        <f t="shared" si="51"/>
        <v>2017396.1691663996</v>
      </c>
      <c r="L98" s="124" t="s">
        <v>54</v>
      </c>
      <c r="M98" s="125">
        <v>0.97</v>
      </c>
      <c r="N98" s="74">
        <f t="shared" si="44"/>
        <v>1717396.1691663996</v>
      </c>
      <c r="O98" s="74">
        <f t="shared" si="45"/>
        <v>2085987.6389180573</v>
      </c>
      <c r="P98" s="75">
        <f t="shared" si="46"/>
        <v>368591.46975165769</v>
      </c>
      <c r="Q98" s="75">
        <f t="shared" si="47"/>
        <v>1717396.1691663996</v>
      </c>
      <c r="R98" s="257" t="s">
        <v>126</v>
      </c>
      <c r="S98" s="207">
        <v>15</v>
      </c>
      <c r="T98" s="85">
        <v>46</v>
      </c>
      <c r="V98" s="30">
        <f t="shared" si="52"/>
        <v>3.9839999999999995</v>
      </c>
      <c r="W98" s="30">
        <f t="shared" si="42"/>
        <v>0</v>
      </c>
      <c r="X98" s="30">
        <f t="shared" si="53"/>
        <v>0</v>
      </c>
      <c r="Y98" s="30">
        <f t="shared" si="43"/>
        <v>117.72199999999999</v>
      </c>
      <c r="Z98" s="30">
        <f t="shared" si="48"/>
        <v>110</v>
      </c>
      <c r="AA98" s="30">
        <f t="shared" si="55"/>
        <v>0</v>
      </c>
      <c r="AB98" s="30">
        <f t="shared" si="54"/>
        <v>117.72199999999999</v>
      </c>
    </row>
    <row r="99" spans="1:30" ht="15" customHeight="1" x14ac:dyDescent="0.25">
      <c r="A99" s="177" t="s">
        <v>73</v>
      </c>
      <c r="B99" s="188">
        <v>100</v>
      </c>
      <c r="C99" s="178">
        <v>26</v>
      </c>
      <c r="D99" s="179" t="s">
        <v>75</v>
      </c>
      <c r="E99" s="180">
        <v>7</v>
      </c>
      <c r="F99" s="180">
        <v>3</v>
      </c>
      <c r="G99" s="181">
        <v>80.22</v>
      </c>
      <c r="H99" s="197">
        <v>13.84</v>
      </c>
      <c r="I99" s="2">
        <v>6.02</v>
      </c>
      <c r="J99" s="200">
        <v>1</v>
      </c>
      <c r="K99" s="72">
        <f t="shared" si="51"/>
        <v>1521418.5275359999</v>
      </c>
      <c r="L99" s="128" t="s">
        <v>54</v>
      </c>
      <c r="M99" s="125">
        <v>0.97</v>
      </c>
      <c r="N99" s="74">
        <f t="shared" si="44"/>
        <v>1221418.5275359999</v>
      </c>
      <c r="O99" s="74">
        <f t="shared" si="45"/>
        <v>1573146.7574722238</v>
      </c>
      <c r="P99" s="75">
        <f t="shared" si="46"/>
        <v>351728.22993622394</v>
      </c>
      <c r="Q99" s="75">
        <f t="shared" si="47"/>
        <v>1221418.5275359999</v>
      </c>
      <c r="R99" s="257" t="s">
        <v>127</v>
      </c>
      <c r="S99" s="110">
        <v>3</v>
      </c>
      <c r="T99" s="85">
        <v>45</v>
      </c>
      <c r="V99" s="30">
        <f t="shared" si="52"/>
        <v>4.1520000000000001</v>
      </c>
      <c r="W99" s="30">
        <f t="shared" si="42"/>
        <v>0</v>
      </c>
      <c r="X99" s="30">
        <f t="shared" si="53"/>
        <v>0</v>
      </c>
      <c r="Y99" s="30">
        <f t="shared" si="43"/>
        <v>88.78</v>
      </c>
      <c r="Z99" s="30">
        <f t="shared" si="48"/>
        <v>90</v>
      </c>
      <c r="AA99" s="30">
        <f t="shared" si="55"/>
        <v>0</v>
      </c>
      <c r="AB99" s="30">
        <f>Y99-AA99</f>
        <v>88.78</v>
      </c>
      <c r="AC99" s="95">
        <f>AB99*$O$9</f>
        <v>1568472.7087999999</v>
      </c>
      <c r="AD99" s="86">
        <f>AC99-K99</f>
        <v>47054.181264000013</v>
      </c>
    </row>
    <row r="100" spans="1:30" ht="15" customHeight="1" x14ac:dyDescent="0.25">
      <c r="A100" s="161" t="s">
        <v>73</v>
      </c>
      <c r="B100" s="188">
        <v>100</v>
      </c>
      <c r="C100" s="163">
        <v>27</v>
      </c>
      <c r="D100" s="164" t="s">
        <v>76</v>
      </c>
      <c r="E100" s="165">
        <v>7</v>
      </c>
      <c r="F100" s="165">
        <v>5</v>
      </c>
      <c r="G100" s="166">
        <v>130.59</v>
      </c>
      <c r="H100" s="198">
        <v>12.21</v>
      </c>
      <c r="I100" s="2">
        <v>6.24</v>
      </c>
      <c r="J100" s="200">
        <v>2</v>
      </c>
      <c r="K100" s="72">
        <f t="shared" si="51"/>
        <v>2397639.4108676002</v>
      </c>
      <c r="L100" s="128" t="s">
        <v>54</v>
      </c>
      <c r="M100" s="125">
        <v>0.97</v>
      </c>
      <c r="N100" s="74">
        <f t="shared" si="44"/>
        <v>2097639.4108676002</v>
      </c>
      <c r="O100" s="74">
        <f t="shared" si="45"/>
        <v>2479159.1508370987</v>
      </c>
      <c r="P100" s="75">
        <f t="shared" si="46"/>
        <v>381519.73996949848</v>
      </c>
      <c r="Q100" s="75">
        <f t="shared" si="47"/>
        <v>2097639.4108676002</v>
      </c>
      <c r="R100" s="257" t="s">
        <v>128</v>
      </c>
      <c r="S100" s="208">
        <v>125126</v>
      </c>
      <c r="T100" s="85">
        <v>71</v>
      </c>
      <c r="U100" s="86"/>
      <c r="V100" s="30">
        <f t="shared" si="52"/>
        <v>3.6630000000000003</v>
      </c>
      <c r="W100" s="30">
        <f t="shared" si="42"/>
        <v>0</v>
      </c>
      <c r="X100" s="30">
        <f t="shared" si="53"/>
        <v>0</v>
      </c>
      <c r="Y100" s="30">
        <f t="shared" si="43"/>
        <v>140.74900000000002</v>
      </c>
      <c r="Z100" s="30">
        <f t="shared" si="48"/>
        <v>125</v>
      </c>
      <c r="AA100" s="30">
        <f t="shared" si="55"/>
        <v>0.83850000000000047</v>
      </c>
      <c r="AB100" s="30">
        <f t="shared" si="54"/>
        <v>139.91050000000001</v>
      </c>
      <c r="AC100" s="95">
        <f>AB100*$O$9</f>
        <v>2471793.2070800001</v>
      </c>
      <c r="AD100" s="86">
        <f>AC100-K100</f>
        <v>74153.796212399844</v>
      </c>
    </row>
    <row r="101" spans="1:30" ht="15.75" thickBot="1" x14ac:dyDescent="0.3">
      <c r="A101" s="77" t="s">
        <v>73</v>
      </c>
      <c r="B101" s="65">
        <v>100</v>
      </c>
      <c r="C101" s="79">
        <v>28</v>
      </c>
      <c r="D101" s="80" t="s">
        <v>77</v>
      </c>
      <c r="E101" s="81">
        <v>7</v>
      </c>
      <c r="F101" s="81">
        <v>5</v>
      </c>
      <c r="G101" s="82">
        <v>129.22999999999999</v>
      </c>
      <c r="H101" s="199">
        <v>15.7</v>
      </c>
      <c r="I101" s="2">
        <v>8.68</v>
      </c>
      <c r="J101" s="200">
        <v>2</v>
      </c>
      <c r="K101" s="72">
        <f t="shared" si="51"/>
        <v>2412497.1475579999</v>
      </c>
      <c r="L101" s="128" t="s">
        <v>54</v>
      </c>
      <c r="M101" s="125">
        <v>0.97</v>
      </c>
      <c r="N101" s="74">
        <f t="shared" si="44"/>
        <v>2112497.1475579999</v>
      </c>
      <c r="O101" s="74">
        <f t="shared" si="45"/>
        <v>2494522.0505749718</v>
      </c>
      <c r="P101" s="75">
        <f t="shared" si="46"/>
        <v>382024.90301697189</v>
      </c>
      <c r="Q101" s="75">
        <f t="shared" si="47"/>
        <v>2112497.1475579999</v>
      </c>
      <c r="R101" s="258" t="s">
        <v>129</v>
      </c>
      <c r="S101" s="213">
        <v>123124</v>
      </c>
      <c r="T101" s="85">
        <v>72</v>
      </c>
      <c r="U101" s="86"/>
      <c r="V101" s="30">
        <f t="shared" si="52"/>
        <v>4.71</v>
      </c>
      <c r="W101" s="30">
        <f t="shared" si="42"/>
        <v>0</v>
      </c>
      <c r="X101" s="30">
        <f t="shared" si="53"/>
        <v>0</v>
      </c>
      <c r="Y101" s="30">
        <f t="shared" si="43"/>
        <v>141.41200000000001</v>
      </c>
      <c r="Z101" s="30">
        <f t="shared" si="48"/>
        <v>125</v>
      </c>
      <c r="AA101" s="30">
        <f t="shared" si="55"/>
        <v>0.6344999999999984</v>
      </c>
      <c r="AB101" s="30">
        <f t="shared" si="54"/>
        <v>140.7775</v>
      </c>
      <c r="AC101" s="95">
        <f>AB101*$O$9</f>
        <v>2487110.4613999999</v>
      </c>
      <c r="AD101" s="86">
        <f>AC101-K101</f>
        <v>74613.313841999974</v>
      </c>
    </row>
    <row r="102" spans="1:30" ht="15" x14ac:dyDescent="0.25">
      <c r="A102" s="172" t="s">
        <v>73</v>
      </c>
      <c r="B102" s="188">
        <v>100</v>
      </c>
      <c r="C102" s="173">
        <v>29</v>
      </c>
      <c r="D102" s="174" t="s">
        <v>74</v>
      </c>
      <c r="E102" s="175">
        <v>8</v>
      </c>
      <c r="F102" s="175">
        <v>4</v>
      </c>
      <c r="G102" s="176">
        <v>109.45</v>
      </c>
      <c r="H102" s="196">
        <v>13.28</v>
      </c>
      <c r="I102" s="2">
        <v>5.46</v>
      </c>
      <c r="J102" s="200">
        <v>2</v>
      </c>
      <c r="K102" s="72">
        <f t="shared" si="51"/>
        <v>2060454.2607479999</v>
      </c>
      <c r="L102" s="124" t="s">
        <v>54</v>
      </c>
      <c r="M102" s="125">
        <v>0.97499999999999998</v>
      </c>
      <c r="N102" s="74">
        <f t="shared" si="44"/>
        <v>1760454.2607479999</v>
      </c>
      <c r="O102" s="74">
        <f t="shared" si="45"/>
        <v>2130509.705613432</v>
      </c>
      <c r="P102" s="75">
        <f t="shared" si="46"/>
        <v>370055.4448654321</v>
      </c>
      <c r="Q102" s="75">
        <f t="shared" si="47"/>
        <v>1760454.2607479999</v>
      </c>
      <c r="R102" s="257" t="s">
        <v>126</v>
      </c>
      <c r="S102" s="207" t="s">
        <v>117</v>
      </c>
      <c r="T102" s="85">
        <v>44</v>
      </c>
      <c r="V102" s="30">
        <f t="shared" si="52"/>
        <v>3.9839999999999995</v>
      </c>
      <c r="W102" s="30">
        <f t="shared" si="42"/>
        <v>0</v>
      </c>
      <c r="X102" s="30">
        <f t="shared" si="53"/>
        <v>0</v>
      </c>
      <c r="Y102" s="30">
        <f t="shared" si="43"/>
        <v>119.61799999999999</v>
      </c>
      <c r="Z102" s="30">
        <f t="shared" si="48"/>
        <v>110</v>
      </c>
      <c r="AA102" s="30">
        <f t="shared" si="55"/>
        <v>0</v>
      </c>
      <c r="AB102" s="30">
        <f t="shared" si="54"/>
        <v>119.61799999999999</v>
      </c>
    </row>
    <row r="103" spans="1:30" ht="15" customHeight="1" x14ac:dyDescent="0.25">
      <c r="A103" s="177" t="s">
        <v>73</v>
      </c>
      <c r="B103" s="188">
        <v>100</v>
      </c>
      <c r="C103" s="178">
        <v>30</v>
      </c>
      <c r="D103" s="179" t="s">
        <v>75</v>
      </c>
      <c r="E103" s="180">
        <v>8</v>
      </c>
      <c r="F103" s="180">
        <v>3</v>
      </c>
      <c r="G103" s="181">
        <v>80.22</v>
      </c>
      <c r="H103" s="197">
        <v>13.84</v>
      </c>
      <c r="I103" s="2">
        <v>5.99</v>
      </c>
      <c r="J103" s="200">
        <v>1</v>
      </c>
      <c r="K103" s="72">
        <f t="shared" si="51"/>
        <v>1529054.187648</v>
      </c>
      <c r="L103" s="128" t="s">
        <v>54</v>
      </c>
      <c r="M103" s="125">
        <v>0.97499999999999998</v>
      </c>
      <c r="N103" s="74">
        <f t="shared" si="44"/>
        <v>1229054.187648</v>
      </c>
      <c r="O103" s="74">
        <f t="shared" si="45"/>
        <v>1581042.0300280319</v>
      </c>
      <c r="P103" s="75">
        <f t="shared" si="46"/>
        <v>351987.84238003194</v>
      </c>
      <c r="Q103" s="75">
        <f t="shared" si="47"/>
        <v>1229054.187648</v>
      </c>
      <c r="R103" s="257" t="s">
        <v>127</v>
      </c>
      <c r="S103" s="110">
        <v>72</v>
      </c>
      <c r="T103" s="85">
        <v>2</v>
      </c>
      <c r="V103" s="30">
        <f t="shared" si="52"/>
        <v>4.1520000000000001</v>
      </c>
      <c r="W103" s="30">
        <f t="shared" si="42"/>
        <v>0</v>
      </c>
      <c r="X103" s="30">
        <f t="shared" si="53"/>
        <v>0</v>
      </c>
      <c r="Y103" s="30">
        <f t="shared" si="43"/>
        <v>88.768000000000001</v>
      </c>
      <c r="Z103" s="30">
        <f t="shared" si="48"/>
        <v>90</v>
      </c>
      <c r="AA103" s="30">
        <f t="shared" si="55"/>
        <v>0</v>
      </c>
      <c r="AB103" s="30">
        <f t="shared" si="54"/>
        <v>88.768000000000001</v>
      </c>
      <c r="AC103" s="95">
        <f>AB103*$O$9</f>
        <v>1568260.7052799999</v>
      </c>
      <c r="AD103" s="86">
        <f>AC103-K103</f>
        <v>39206.517631999915</v>
      </c>
    </row>
    <row r="104" spans="1:30" ht="15" x14ac:dyDescent="0.25">
      <c r="A104" s="161" t="s">
        <v>73</v>
      </c>
      <c r="B104" s="188">
        <v>100</v>
      </c>
      <c r="C104" s="163">
        <v>31</v>
      </c>
      <c r="D104" s="164" t="s">
        <v>76</v>
      </c>
      <c r="E104" s="165">
        <v>8</v>
      </c>
      <c r="F104" s="165">
        <v>5</v>
      </c>
      <c r="G104" s="166">
        <v>130.59</v>
      </c>
      <c r="H104" s="198">
        <v>12.21</v>
      </c>
      <c r="I104" s="2">
        <v>6.24</v>
      </c>
      <c r="J104" s="200">
        <v>2</v>
      </c>
      <c r="K104" s="72">
        <f t="shared" si="51"/>
        <v>2409998.3769029998</v>
      </c>
      <c r="L104" s="128" t="s">
        <v>54</v>
      </c>
      <c r="M104" s="125">
        <v>0.97499999999999998</v>
      </c>
      <c r="N104" s="74">
        <f t="shared" si="44"/>
        <v>2109998.3769029998</v>
      </c>
      <c r="O104" s="74">
        <f t="shared" si="45"/>
        <v>2491938.3217177019</v>
      </c>
      <c r="P104" s="75">
        <f t="shared" si="46"/>
        <v>381939.94481470203</v>
      </c>
      <c r="Q104" s="75">
        <f t="shared" si="47"/>
        <v>2109998.3769029998</v>
      </c>
      <c r="R104" s="257" t="s">
        <v>128</v>
      </c>
      <c r="S104" s="208">
        <v>121122</v>
      </c>
      <c r="T104" s="85">
        <v>73</v>
      </c>
      <c r="U104" s="86"/>
      <c r="V104" s="30">
        <f t="shared" si="52"/>
        <v>3.6630000000000003</v>
      </c>
      <c r="W104" s="30">
        <f t="shared" si="42"/>
        <v>0</v>
      </c>
      <c r="X104" s="30">
        <f t="shared" si="53"/>
        <v>0</v>
      </c>
      <c r="Y104" s="30">
        <f t="shared" si="43"/>
        <v>140.74900000000002</v>
      </c>
      <c r="Z104" s="30">
        <f t="shared" si="48"/>
        <v>125</v>
      </c>
      <c r="AA104" s="30">
        <f t="shared" si="55"/>
        <v>0.83850000000000047</v>
      </c>
      <c r="AB104" s="30">
        <f t="shared" si="54"/>
        <v>139.91050000000001</v>
      </c>
      <c r="AC104" s="95">
        <f>AB104*$O$9</f>
        <v>2471793.2070800001</v>
      </c>
      <c r="AD104" s="86">
        <f>AC104-K104</f>
        <v>61794.830177000258</v>
      </c>
    </row>
    <row r="105" spans="1:30" ht="15.75" thickBot="1" x14ac:dyDescent="0.3">
      <c r="A105" s="77" t="s">
        <v>73</v>
      </c>
      <c r="B105" s="65">
        <v>100</v>
      </c>
      <c r="C105" s="79">
        <v>32</v>
      </c>
      <c r="D105" s="80" t="s">
        <v>77</v>
      </c>
      <c r="E105" s="81">
        <v>8</v>
      </c>
      <c r="F105" s="81">
        <v>5</v>
      </c>
      <c r="G105" s="82">
        <v>129.22999999999999</v>
      </c>
      <c r="H105" s="199">
        <v>15.7</v>
      </c>
      <c r="I105" s="2">
        <v>8.68</v>
      </c>
      <c r="J105" s="200">
        <v>2</v>
      </c>
      <c r="K105" s="72">
        <f t="shared" si="51"/>
        <v>2424932.6998649999</v>
      </c>
      <c r="L105" s="128" t="s">
        <v>54</v>
      </c>
      <c r="M105" s="125">
        <v>0.97499999999999998</v>
      </c>
      <c r="N105" s="74">
        <f t="shared" si="44"/>
        <v>2124932.6998649999</v>
      </c>
      <c r="O105" s="74">
        <f t="shared" si="45"/>
        <v>2507380.41166041</v>
      </c>
      <c r="P105" s="75">
        <f t="shared" si="46"/>
        <v>382447.71179541014</v>
      </c>
      <c r="Q105" s="75">
        <f t="shared" si="47"/>
        <v>2124932.6998649999</v>
      </c>
      <c r="R105" s="258" t="s">
        <v>129</v>
      </c>
      <c r="S105" s="213">
        <v>119120</v>
      </c>
      <c r="T105" s="85">
        <v>74</v>
      </c>
      <c r="U105" s="86"/>
      <c r="V105" s="30">
        <f t="shared" si="52"/>
        <v>4.71</v>
      </c>
      <c r="W105" s="30">
        <f t="shared" ref="W105:W136" si="56">IF(H105&gt;$V$10,(H105-$V$10)*$W$11,0)</f>
        <v>0</v>
      </c>
      <c r="X105" s="30">
        <f t="shared" si="53"/>
        <v>0</v>
      </c>
      <c r="Y105" s="30">
        <f t="shared" ref="Y105:Y136" si="57">W105+V105+G105+I105*$I$11+J105*$J$11</f>
        <v>141.41200000000001</v>
      </c>
      <c r="Z105" s="30">
        <f t="shared" si="48"/>
        <v>125</v>
      </c>
      <c r="AA105" s="30">
        <f t="shared" si="55"/>
        <v>0.6344999999999984</v>
      </c>
      <c r="AB105" s="30">
        <f t="shared" si="54"/>
        <v>140.7775</v>
      </c>
      <c r="AC105" s="95">
        <f>AB105*$O$9</f>
        <v>2487110.4613999999</v>
      </c>
      <c r="AD105" s="86">
        <f>AC105-K105</f>
        <v>62177.761535000056</v>
      </c>
    </row>
    <row r="106" spans="1:30" ht="15" x14ac:dyDescent="0.25">
      <c r="A106" s="172" t="s">
        <v>73</v>
      </c>
      <c r="B106" s="188">
        <v>100</v>
      </c>
      <c r="C106" s="173">
        <v>33</v>
      </c>
      <c r="D106" s="174" t="s">
        <v>74</v>
      </c>
      <c r="E106" s="175">
        <v>9</v>
      </c>
      <c r="F106" s="175">
        <v>4</v>
      </c>
      <c r="G106" s="176">
        <v>109.45</v>
      </c>
      <c r="H106" s="196">
        <v>13.28</v>
      </c>
      <c r="I106" s="2">
        <v>7.75</v>
      </c>
      <c r="J106" s="200">
        <v>2</v>
      </c>
      <c r="K106" s="72">
        <f t="shared" si="51"/>
        <v>2086879.9695071999</v>
      </c>
      <c r="L106" s="124" t="s">
        <v>54</v>
      </c>
      <c r="M106" s="125">
        <v>0.98</v>
      </c>
      <c r="N106" s="74">
        <f t="shared" si="44"/>
        <v>1786879.9695071999</v>
      </c>
      <c r="O106" s="74">
        <f t="shared" si="45"/>
        <v>2157833.8884704448</v>
      </c>
      <c r="P106" s="75">
        <f t="shared" ref="P106:P131" si="58">O106-N106</f>
        <v>370953.91896324488</v>
      </c>
      <c r="Q106" s="75">
        <f t="shared" ref="Q106:Q131" si="59">IF(P106&gt;$Q$11,(P106-$Q$11+N106),N106)</f>
        <v>1786879.9695071999</v>
      </c>
      <c r="R106" s="257" t="s">
        <v>126</v>
      </c>
      <c r="S106" s="207" t="s">
        <v>116</v>
      </c>
      <c r="T106" s="85">
        <v>1</v>
      </c>
      <c r="V106" s="30">
        <f t="shared" si="52"/>
        <v>3.9839999999999995</v>
      </c>
      <c r="W106" s="30">
        <f t="shared" si="56"/>
        <v>0</v>
      </c>
      <c r="X106" s="30">
        <f t="shared" si="53"/>
        <v>0</v>
      </c>
      <c r="Y106" s="30">
        <f t="shared" si="57"/>
        <v>120.53399999999999</v>
      </c>
      <c r="Z106" s="30">
        <f t="shared" ref="Z106:Z137" si="60">VLOOKUP(F106,$AC$3:$AD$11,2,FALSE)</f>
        <v>110</v>
      </c>
      <c r="AA106" s="30">
        <f t="shared" si="55"/>
        <v>0</v>
      </c>
      <c r="AB106" s="30">
        <f t="shared" si="54"/>
        <v>120.53399999999999</v>
      </c>
    </row>
    <row r="107" spans="1:30" ht="15" x14ac:dyDescent="0.25">
      <c r="A107" s="177" t="s">
        <v>73</v>
      </c>
      <c r="B107" s="188">
        <v>100</v>
      </c>
      <c r="C107" s="178">
        <v>34</v>
      </c>
      <c r="D107" s="179" t="s">
        <v>75</v>
      </c>
      <c r="E107" s="180">
        <v>9</v>
      </c>
      <c r="F107" s="180">
        <v>3</v>
      </c>
      <c r="G107" s="181">
        <v>80.22</v>
      </c>
      <c r="H107" s="197">
        <v>13.84</v>
      </c>
      <c r="I107" s="2">
        <v>6.42</v>
      </c>
      <c r="J107" s="200">
        <v>1</v>
      </c>
      <c r="K107" s="72">
        <f t="shared" si="51"/>
        <v>1539873.4339519998</v>
      </c>
      <c r="L107" s="128" t="s">
        <v>54</v>
      </c>
      <c r="M107" s="125">
        <v>0.98</v>
      </c>
      <c r="N107" s="74">
        <f t="shared" si="44"/>
        <v>1239873.4339519998</v>
      </c>
      <c r="O107" s="74">
        <f t="shared" si="45"/>
        <v>1592229.1307063678</v>
      </c>
      <c r="P107" s="75">
        <f t="shared" si="58"/>
        <v>352355.69675436802</v>
      </c>
      <c r="Q107" s="75">
        <f t="shared" si="59"/>
        <v>1239873.4339519998</v>
      </c>
      <c r="R107" s="257" t="s">
        <v>127</v>
      </c>
      <c r="S107" s="110">
        <v>71</v>
      </c>
      <c r="T107" s="85">
        <v>3</v>
      </c>
      <c r="V107" s="30">
        <f t="shared" si="52"/>
        <v>4.1520000000000001</v>
      </c>
      <c r="W107" s="30">
        <f t="shared" si="56"/>
        <v>0</v>
      </c>
      <c r="X107" s="30">
        <f t="shared" si="53"/>
        <v>0</v>
      </c>
      <c r="Y107" s="30">
        <f t="shared" si="57"/>
        <v>88.94</v>
      </c>
      <c r="Z107" s="30">
        <f t="shared" si="60"/>
        <v>90</v>
      </c>
      <c r="AA107" s="30">
        <f t="shared" si="55"/>
        <v>0</v>
      </c>
      <c r="AB107" s="30">
        <f t="shared" si="54"/>
        <v>88.94</v>
      </c>
      <c r="AC107" s="95">
        <f>AB107*$O$9</f>
        <v>1571299.4223999998</v>
      </c>
      <c r="AD107" s="86">
        <f>AC107-K107</f>
        <v>31425.988448000047</v>
      </c>
    </row>
    <row r="108" spans="1:30" ht="15" x14ac:dyDescent="0.25">
      <c r="A108" s="161" t="s">
        <v>73</v>
      </c>
      <c r="B108" s="188">
        <v>100</v>
      </c>
      <c r="C108" s="163">
        <v>35</v>
      </c>
      <c r="D108" s="164" t="s">
        <v>76</v>
      </c>
      <c r="E108" s="165">
        <v>9</v>
      </c>
      <c r="F108" s="165">
        <v>5</v>
      </c>
      <c r="G108" s="166">
        <v>130.59</v>
      </c>
      <c r="H108" s="198">
        <v>12.21</v>
      </c>
      <c r="I108" s="2">
        <v>6.24</v>
      </c>
      <c r="J108" s="200">
        <v>2</v>
      </c>
      <c r="K108" s="72">
        <f t="shared" si="51"/>
        <v>2422357.3429383999</v>
      </c>
      <c r="L108" s="128" t="s">
        <v>54</v>
      </c>
      <c r="M108" s="125">
        <v>0.98</v>
      </c>
      <c r="N108" s="74">
        <f t="shared" si="44"/>
        <v>2122357.3429383999</v>
      </c>
      <c r="O108" s="74">
        <f t="shared" si="45"/>
        <v>2504717.4925983055</v>
      </c>
      <c r="P108" s="75">
        <f t="shared" si="58"/>
        <v>382360.14965990558</v>
      </c>
      <c r="Q108" s="75">
        <f t="shared" si="59"/>
        <v>2122357.3429383999</v>
      </c>
      <c r="R108" s="257" t="s">
        <v>128</v>
      </c>
      <c r="S108" s="208">
        <v>166167</v>
      </c>
      <c r="T108" s="85">
        <v>75</v>
      </c>
      <c r="U108" s="86"/>
      <c r="V108" s="30">
        <f t="shared" si="52"/>
        <v>3.6630000000000003</v>
      </c>
      <c r="W108" s="30">
        <f t="shared" si="56"/>
        <v>0</v>
      </c>
      <c r="X108" s="30">
        <f t="shared" si="53"/>
        <v>0</v>
      </c>
      <c r="Y108" s="30">
        <f t="shared" si="57"/>
        <v>140.74900000000002</v>
      </c>
      <c r="Z108" s="30">
        <f t="shared" si="60"/>
        <v>125</v>
      </c>
      <c r="AA108" s="30">
        <f t="shared" si="55"/>
        <v>0.83850000000000047</v>
      </c>
      <c r="AB108" s="30">
        <f t="shared" si="54"/>
        <v>139.91050000000001</v>
      </c>
      <c r="AC108" s="95">
        <f>AB108*$O$9</f>
        <v>2471793.2070800001</v>
      </c>
      <c r="AD108" s="86">
        <f>AC108-K108</f>
        <v>49435.864141600206</v>
      </c>
    </row>
    <row r="109" spans="1:30" ht="15.75" thickBot="1" x14ac:dyDescent="0.3">
      <c r="A109" s="77" t="s">
        <v>73</v>
      </c>
      <c r="B109" s="65">
        <v>100</v>
      </c>
      <c r="C109" s="79">
        <v>36</v>
      </c>
      <c r="D109" s="80" t="s">
        <v>77</v>
      </c>
      <c r="E109" s="81">
        <v>9</v>
      </c>
      <c r="F109" s="81">
        <v>5</v>
      </c>
      <c r="G109" s="82">
        <v>129.22999999999999</v>
      </c>
      <c r="H109" s="199">
        <v>15.7</v>
      </c>
      <c r="I109" s="2">
        <v>8.68</v>
      </c>
      <c r="J109" s="200">
        <v>2</v>
      </c>
      <c r="K109" s="72">
        <f t="shared" si="51"/>
        <v>2437368.2521719998</v>
      </c>
      <c r="L109" s="128" t="s">
        <v>54</v>
      </c>
      <c r="M109" s="125">
        <v>0.98</v>
      </c>
      <c r="N109" s="74">
        <f t="shared" si="44"/>
        <v>2137368.2521719998</v>
      </c>
      <c r="O109" s="74">
        <f t="shared" si="45"/>
        <v>2520238.7727458477</v>
      </c>
      <c r="P109" s="75">
        <f t="shared" si="58"/>
        <v>382870.52057384793</v>
      </c>
      <c r="Q109" s="75">
        <f t="shared" si="59"/>
        <v>2137368.2521719998</v>
      </c>
      <c r="R109" s="258" t="s">
        <v>129</v>
      </c>
      <c r="S109" s="213">
        <v>164165</v>
      </c>
      <c r="T109" s="85">
        <v>76</v>
      </c>
      <c r="U109" s="86"/>
      <c r="V109" s="30">
        <f t="shared" ref="V109:V140" si="61">IF(H109&gt;$V$10,$V$10*$V$11,H109*$V$11)</f>
        <v>4.71</v>
      </c>
      <c r="W109" s="30">
        <f t="shared" si="56"/>
        <v>0</v>
      </c>
      <c r="X109" s="30">
        <f t="shared" ref="X109:X140" si="62">IF(AND(H109&gt;$X$10,H109&lt;$X$8),(H109-$X$10)*$X$11,IF(H109&gt;$X$8,($X$8-$X$10)*$X$11,0))</f>
        <v>0</v>
      </c>
      <c r="Y109" s="30">
        <f t="shared" si="57"/>
        <v>141.41200000000001</v>
      </c>
      <c r="Z109" s="30">
        <f t="shared" si="60"/>
        <v>125</v>
      </c>
      <c r="AA109" s="30">
        <f t="shared" si="55"/>
        <v>0.6344999999999984</v>
      </c>
      <c r="AB109" s="30">
        <f t="shared" si="54"/>
        <v>140.7775</v>
      </c>
      <c r="AC109" s="95">
        <f>AB109*$O$9</f>
        <v>2487110.4613999999</v>
      </c>
      <c r="AD109" s="86">
        <f>AC109-K109</f>
        <v>49742.209228000138</v>
      </c>
    </row>
    <row r="110" spans="1:30" ht="15" customHeight="1" x14ac:dyDescent="0.25">
      <c r="A110" s="172" t="s">
        <v>73</v>
      </c>
      <c r="B110" s="188">
        <v>100</v>
      </c>
      <c r="C110" s="173">
        <v>37</v>
      </c>
      <c r="D110" s="174" t="s">
        <v>74</v>
      </c>
      <c r="E110" s="175">
        <v>10</v>
      </c>
      <c r="F110" s="175">
        <v>4</v>
      </c>
      <c r="G110" s="176">
        <v>109.45</v>
      </c>
      <c r="H110" s="196">
        <v>13.28</v>
      </c>
      <c r="I110" s="2">
        <v>5.84</v>
      </c>
      <c r="J110" s="200">
        <v>1</v>
      </c>
      <c r="K110" s="72">
        <f t="shared" si="51"/>
        <v>2049428.3110119998</v>
      </c>
      <c r="L110" s="128" t="s">
        <v>54</v>
      </c>
      <c r="M110" s="125">
        <v>0.98499999999999999</v>
      </c>
      <c r="N110" s="74">
        <f t="shared" si="44"/>
        <v>1749428.3110119998</v>
      </c>
      <c r="O110" s="74">
        <f t="shared" si="45"/>
        <v>2119108.8735864079</v>
      </c>
      <c r="P110" s="75">
        <f t="shared" si="58"/>
        <v>369680.56257440802</v>
      </c>
      <c r="Q110" s="75">
        <f t="shared" si="59"/>
        <v>1749428.3110119998</v>
      </c>
      <c r="R110" s="257" t="s">
        <v>126</v>
      </c>
      <c r="S110" s="207">
        <v>13</v>
      </c>
      <c r="T110" s="85">
        <v>4</v>
      </c>
      <c r="V110" s="30">
        <f t="shared" si="61"/>
        <v>3.9839999999999995</v>
      </c>
      <c r="W110" s="30">
        <f t="shared" si="56"/>
        <v>0</v>
      </c>
      <c r="X110" s="30">
        <f t="shared" si="62"/>
        <v>0</v>
      </c>
      <c r="Y110" s="30">
        <f t="shared" si="57"/>
        <v>117.77</v>
      </c>
      <c r="Z110" s="30">
        <f t="shared" si="60"/>
        <v>110</v>
      </c>
      <c r="AA110" s="30">
        <f t="shared" si="55"/>
        <v>0</v>
      </c>
      <c r="AB110" s="30">
        <f t="shared" si="54"/>
        <v>117.77</v>
      </c>
    </row>
    <row r="111" spans="1:30" ht="15" x14ac:dyDescent="0.25">
      <c r="A111" s="177" t="s">
        <v>73</v>
      </c>
      <c r="B111" s="188">
        <v>100</v>
      </c>
      <c r="C111" s="178">
        <v>38</v>
      </c>
      <c r="D111" s="179" t="s">
        <v>75</v>
      </c>
      <c r="E111" s="180">
        <v>10</v>
      </c>
      <c r="F111" s="180">
        <v>3</v>
      </c>
      <c r="G111" s="181">
        <v>80.22</v>
      </c>
      <c r="H111" s="197">
        <v>13.84</v>
      </c>
      <c r="I111" s="2">
        <v>5.66</v>
      </c>
      <c r="J111" s="200">
        <v>1</v>
      </c>
      <c r="K111" s="72">
        <f t="shared" si="51"/>
        <v>1542439.7365615999</v>
      </c>
      <c r="L111" s="128" t="s">
        <v>54</v>
      </c>
      <c r="M111" s="125">
        <v>0.98499999999999999</v>
      </c>
      <c r="N111" s="74">
        <f t="shared" si="44"/>
        <v>1242439.7365615999</v>
      </c>
      <c r="O111" s="74">
        <f t="shared" si="45"/>
        <v>1594882.6876046944</v>
      </c>
      <c r="P111" s="75">
        <f t="shared" si="58"/>
        <v>352442.95104309451</v>
      </c>
      <c r="Q111" s="75">
        <f t="shared" si="59"/>
        <v>1242439.7365615999</v>
      </c>
      <c r="R111" s="257" t="s">
        <v>127</v>
      </c>
      <c r="S111" s="110">
        <v>86</v>
      </c>
      <c r="T111" s="85">
        <v>5</v>
      </c>
      <c r="V111" s="30">
        <f t="shared" si="61"/>
        <v>4.1520000000000001</v>
      </c>
      <c r="W111" s="30">
        <f t="shared" si="56"/>
        <v>0</v>
      </c>
      <c r="X111" s="30">
        <f t="shared" si="62"/>
        <v>0</v>
      </c>
      <c r="Y111" s="30">
        <f t="shared" si="57"/>
        <v>88.635999999999996</v>
      </c>
      <c r="Z111" s="30">
        <f t="shared" si="60"/>
        <v>90</v>
      </c>
      <c r="AA111" s="30">
        <f t="shared" si="55"/>
        <v>0</v>
      </c>
      <c r="AB111" s="30">
        <f t="shared" si="54"/>
        <v>88.635999999999996</v>
      </c>
      <c r="AC111" s="95">
        <f>AB111*$O$9</f>
        <v>1565928.6665599998</v>
      </c>
      <c r="AD111" s="86">
        <f>AC111-K111</f>
        <v>23488.929998399923</v>
      </c>
    </row>
    <row r="112" spans="1:30" ht="15" x14ac:dyDescent="0.25">
      <c r="A112" s="161" t="s">
        <v>73</v>
      </c>
      <c r="B112" s="188">
        <v>100</v>
      </c>
      <c r="C112" s="163">
        <v>39</v>
      </c>
      <c r="D112" s="164" t="s">
        <v>76</v>
      </c>
      <c r="E112" s="165">
        <v>10</v>
      </c>
      <c r="F112" s="165">
        <v>5</v>
      </c>
      <c r="G112" s="166">
        <v>130.59</v>
      </c>
      <c r="H112" s="198">
        <v>12.21</v>
      </c>
      <c r="I112" s="2">
        <v>6.24</v>
      </c>
      <c r="J112" s="200">
        <v>2</v>
      </c>
      <c r="K112" s="72">
        <f t="shared" si="51"/>
        <v>2434716.3089737999</v>
      </c>
      <c r="L112" s="128" t="s">
        <v>54</v>
      </c>
      <c r="M112" s="125">
        <v>0.98499999999999999</v>
      </c>
      <c r="N112" s="74">
        <f t="shared" si="44"/>
        <v>2134716.3089737999</v>
      </c>
      <c r="O112" s="74">
        <f t="shared" si="45"/>
        <v>2517496.6634789091</v>
      </c>
      <c r="P112" s="75">
        <f t="shared" si="58"/>
        <v>382780.35450510914</v>
      </c>
      <c r="Q112" s="75">
        <f t="shared" si="59"/>
        <v>2134716.3089737999</v>
      </c>
      <c r="R112" s="257" t="s">
        <v>128</v>
      </c>
      <c r="S112" s="208">
        <v>162163</v>
      </c>
      <c r="T112" s="85">
        <v>77</v>
      </c>
      <c r="U112" s="86"/>
      <c r="V112" s="30">
        <f t="shared" si="61"/>
        <v>3.6630000000000003</v>
      </c>
      <c r="W112" s="30">
        <f t="shared" si="56"/>
        <v>0</v>
      </c>
      <c r="X112" s="30">
        <f t="shared" si="62"/>
        <v>0</v>
      </c>
      <c r="Y112" s="30">
        <f t="shared" si="57"/>
        <v>140.74900000000002</v>
      </c>
      <c r="Z112" s="30">
        <f t="shared" si="60"/>
        <v>125</v>
      </c>
      <c r="AA112" s="30">
        <f t="shared" si="55"/>
        <v>0.83850000000000047</v>
      </c>
      <c r="AB112" s="30">
        <f t="shared" si="54"/>
        <v>139.91050000000001</v>
      </c>
      <c r="AC112" s="95">
        <f>AB112*$O$9</f>
        <v>2471793.2070800001</v>
      </c>
      <c r="AD112" s="86">
        <f>AC112-K112</f>
        <v>37076.898106200155</v>
      </c>
    </row>
    <row r="113" spans="1:30" ht="15.75" thickBot="1" x14ac:dyDescent="0.3">
      <c r="A113" s="77" t="s">
        <v>73</v>
      </c>
      <c r="B113" s="65">
        <v>100</v>
      </c>
      <c r="C113" s="79">
        <v>40</v>
      </c>
      <c r="D113" s="80" t="s">
        <v>77</v>
      </c>
      <c r="E113" s="81">
        <v>10</v>
      </c>
      <c r="F113" s="81">
        <v>5</v>
      </c>
      <c r="G113" s="82">
        <v>129.28</v>
      </c>
      <c r="H113" s="199">
        <v>15.7</v>
      </c>
      <c r="I113" s="2">
        <v>8.68</v>
      </c>
      <c r="J113" s="200">
        <v>2</v>
      </c>
      <c r="K113" s="72">
        <f t="shared" si="51"/>
        <v>2450543.387592</v>
      </c>
      <c r="L113" s="128" t="s">
        <v>54</v>
      </c>
      <c r="M113" s="125">
        <v>0.98499999999999999</v>
      </c>
      <c r="N113" s="74">
        <f t="shared" si="44"/>
        <v>2150543.387592</v>
      </c>
      <c r="O113" s="74">
        <f t="shared" si="45"/>
        <v>2533861.8627701281</v>
      </c>
      <c r="P113" s="75">
        <f t="shared" si="58"/>
        <v>383318.47517812811</v>
      </c>
      <c r="Q113" s="75">
        <f t="shared" si="59"/>
        <v>2150543.387592</v>
      </c>
      <c r="R113" s="258" t="s">
        <v>129</v>
      </c>
      <c r="S113" s="213">
        <v>160161</v>
      </c>
      <c r="T113" s="85">
        <v>78</v>
      </c>
      <c r="U113" s="86"/>
      <c r="V113" s="30">
        <f t="shared" si="61"/>
        <v>4.71</v>
      </c>
      <c r="W113" s="30">
        <f t="shared" si="56"/>
        <v>0</v>
      </c>
      <c r="X113" s="30">
        <f t="shared" si="62"/>
        <v>0</v>
      </c>
      <c r="Y113" s="30">
        <f t="shared" si="57"/>
        <v>141.46200000000002</v>
      </c>
      <c r="Z113" s="30">
        <f t="shared" si="60"/>
        <v>125</v>
      </c>
      <c r="AA113" s="30">
        <f t="shared" si="55"/>
        <v>0.64200000000000013</v>
      </c>
      <c r="AB113" s="30">
        <f t="shared" si="54"/>
        <v>140.82000000000002</v>
      </c>
      <c r="AC113" s="95">
        <f>AB113*$O$9</f>
        <v>2487861.3072000002</v>
      </c>
      <c r="AD113" s="86">
        <f>AC113-K113</f>
        <v>37317.9196080002</v>
      </c>
    </row>
    <row r="114" spans="1:30" ht="15" customHeight="1" x14ac:dyDescent="0.25">
      <c r="A114" s="172" t="s">
        <v>73</v>
      </c>
      <c r="B114" s="188">
        <v>100</v>
      </c>
      <c r="C114" s="173">
        <v>41</v>
      </c>
      <c r="D114" s="174" t="s">
        <v>74</v>
      </c>
      <c r="E114" s="175">
        <v>11</v>
      </c>
      <c r="F114" s="175">
        <v>4</v>
      </c>
      <c r="G114" s="176">
        <v>109.45</v>
      </c>
      <c r="H114" s="196">
        <v>13.28</v>
      </c>
      <c r="I114" s="2">
        <v>6</v>
      </c>
      <c r="J114" s="200">
        <v>1</v>
      </c>
      <c r="K114" s="72">
        <f t="shared" si="51"/>
        <v>2060950.8789935999</v>
      </c>
      <c r="L114" s="128" t="s">
        <v>54</v>
      </c>
      <c r="M114" s="125">
        <v>0.99</v>
      </c>
      <c r="N114" s="74">
        <f t="shared" si="44"/>
        <v>1760950.8789935999</v>
      </c>
      <c r="O114" s="74">
        <f t="shared" si="45"/>
        <v>2131023.2088793823</v>
      </c>
      <c r="P114" s="75">
        <f t="shared" si="58"/>
        <v>370072.32988578244</v>
      </c>
      <c r="Q114" s="75">
        <f t="shared" si="59"/>
        <v>1760950.8789935999</v>
      </c>
      <c r="R114" s="257" t="s">
        <v>126</v>
      </c>
      <c r="S114" s="207">
        <v>25</v>
      </c>
      <c r="T114" s="85">
        <v>6</v>
      </c>
      <c r="V114" s="30">
        <f t="shared" si="61"/>
        <v>3.9839999999999995</v>
      </c>
      <c r="W114" s="30">
        <f t="shared" si="56"/>
        <v>0</v>
      </c>
      <c r="X114" s="30">
        <f t="shared" si="62"/>
        <v>0</v>
      </c>
      <c r="Y114" s="30">
        <f t="shared" si="57"/>
        <v>117.834</v>
      </c>
      <c r="Z114" s="30">
        <f t="shared" si="60"/>
        <v>110</v>
      </c>
      <c r="AA114" s="30">
        <f t="shared" si="55"/>
        <v>0</v>
      </c>
      <c r="AB114" s="30">
        <f t="shared" si="54"/>
        <v>117.834</v>
      </c>
    </row>
    <row r="115" spans="1:30" ht="15" x14ac:dyDescent="0.25">
      <c r="A115" s="177" t="s">
        <v>73</v>
      </c>
      <c r="B115" s="188">
        <v>100</v>
      </c>
      <c r="C115" s="178">
        <v>42</v>
      </c>
      <c r="D115" s="179" t="s">
        <v>75</v>
      </c>
      <c r="E115" s="180">
        <v>11</v>
      </c>
      <c r="F115" s="180">
        <v>3</v>
      </c>
      <c r="G115" s="181">
        <v>80.22</v>
      </c>
      <c r="H115" s="197">
        <v>13.84</v>
      </c>
      <c r="I115" s="2">
        <v>5.68</v>
      </c>
      <c r="J115" s="200">
        <v>1</v>
      </c>
      <c r="K115" s="72">
        <f t="shared" si="51"/>
        <v>1550409.3022175999</v>
      </c>
      <c r="L115" s="128" t="s">
        <v>54</v>
      </c>
      <c r="M115" s="125">
        <v>0.99</v>
      </c>
      <c r="N115" s="74">
        <f t="shared" si="44"/>
        <v>1250409.3022175999</v>
      </c>
      <c r="O115" s="74">
        <f t="shared" si="45"/>
        <v>1603123.2184929983</v>
      </c>
      <c r="P115" s="75">
        <f t="shared" si="58"/>
        <v>352713.91627539834</v>
      </c>
      <c r="Q115" s="75">
        <f t="shared" si="59"/>
        <v>1250409.3022175999</v>
      </c>
      <c r="R115" s="257" t="s">
        <v>127</v>
      </c>
      <c r="S115" s="110">
        <v>85</v>
      </c>
      <c r="T115" s="85">
        <v>8</v>
      </c>
      <c r="V115" s="30">
        <f t="shared" si="61"/>
        <v>4.1520000000000001</v>
      </c>
      <c r="W115" s="30">
        <f t="shared" si="56"/>
        <v>0</v>
      </c>
      <c r="X115" s="30">
        <f t="shared" si="62"/>
        <v>0</v>
      </c>
      <c r="Y115" s="30">
        <f t="shared" si="57"/>
        <v>88.644000000000005</v>
      </c>
      <c r="Z115" s="30">
        <f t="shared" si="60"/>
        <v>90</v>
      </c>
      <c r="AA115" s="30">
        <f t="shared" si="55"/>
        <v>0</v>
      </c>
      <c r="AB115" s="30">
        <f t="shared" si="54"/>
        <v>88.644000000000005</v>
      </c>
      <c r="AC115" s="95">
        <f>AB115*$O$9</f>
        <v>1566070.0022400001</v>
      </c>
      <c r="AD115" s="86">
        <f>AC115-K115</f>
        <v>15660.700022400124</v>
      </c>
    </row>
    <row r="116" spans="1:30" ht="15" x14ac:dyDescent="0.25">
      <c r="A116" s="161" t="s">
        <v>73</v>
      </c>
      <c r="B116" s="188">
        <v>100</v>
      </c>
      <c r="C116" s="163">
        <v>43</v>
      </c>
      <c r="D116" s="164" t="s">
        <v>76</v>
      </c>
      <c r="E116" s="165">
        <v>11</v>
      </c>
      <c r="F116" s="165">
        <v>5</v>
      </c>
      <c r="G116" s="166">
        <v>130.59</v>
      </c>
      <c r="H116" s="198">
        <v>12.21</v>
      </c>
      <c r="I116" s="2">
        <v>6.24</v>
      </c>
      <c r="J116" s="200">
        <v>2</v>
      </c>
      <c r="K116" s="72">
        <f t="shared" si="51"/>
        <v>2447075.2750092</v>
      </c>
      <c r="L116" s="128" t="s">
        <v>54</v>
      </c>
      <c r="M116" s="125">
        <v>0.99</v>
      </c>
      <c r="N116" s="74">
        <f t="shared" si="44"/>
        <v>2147075.2750092</v>
      </c>
      <c r="O116" s="74">
        <f t="shared" si="45"/>
        <v>2530275.8343595127</v>
      </c>
      <c r="P116" s="75">
        <f t="shared" si="58"/>
        <v>383200.55935031269</v>
      </c>
      <c r="Q116" s="75">
        <f t="shared" si="59"/>
        <v>2147075.2750092</v>
      </c>
      <c r="R116" s="257" t="s">
        <v>128</v>
      </c>
      <c r="S116" s="208">
        <v>146147</v>
      </c>
      <c r="T116" s="85">
        <v>79</v>
      </c>
      <c r="U116" s="86"/>
      <c r="V116" s="30">
        <f t="shared" si="61"/>
        <v>3.6630000000000003</v>
      </c>
      <c r="W116" s="30">
        <f t="shared" si="56"/>
        <v>0</v>
      </c>
      <c r="X116" s="30">
        <f t="shared" si="62"/>
        <v>0</v>
      </c>
      <c r="Y116" s="30">
        <f t="shared" si="57"/>
        <v>140.74900000000002</v>
      </c>
      <c r="Z116" s="30">
        <f t="shared" si="60"/>
        <v>125</v>
      </c>
      <c r="AA116" s="30">
        <f t="shared" si="55"/>
        <v>0.83850000000000047</v>
      </c>
      <c r="AB116" s="30">
        <f t="shared" si="54"/>
        <v>139.91050000000001</v>
      </c>
      <c r="AC116" s="95">
        <f>AB116*$O$9</f>
        <v>2471793.2070800001</v>
      </c>
      <c r="AD116" s="86">
        <f>AC116-K116</f>
        <v>24717.932070800103</v>
      </c>
    </row>
    <row r="117" spans="1:30" ht="15.75" hidden="1" thickBot="1" x14ac:dyDescent="0.3">
      <c r="A117" s="77" t="s">
        <v>73</v>
      </c>
      <c r="B117" s="65">
        <v>100</v>
      </c>
      <c r="C117" s="79">
        <v>44</v>
      </c>
      <c r="D117" s="80" t="s">
        <v>77</v>
      </c>
      <c r="E117" s="81">
        <v>11</v>
      </c>
      <c r="F117" s="81">
        <v>5</v>
      </c>
      <c r="G117" s="82">
        <v>129.22999999999999</v>
      </c>
      <c r="H117" s="130">
        <v>15.7</v>
      </c>
      <c r="I117" s="85">
        <v>8.68</v>
      </c>
      <c r="J117" s="71">
        <v>1</v>
      </c>
      <c r="K117" s="72"/>
      <c r="L117" s="128" t="s">
        <v>50</v>
      </c>
      <c r="M117" s="125">
        <v>0.99</v>
      </c>
      <c r="N117" s="74"/>
      <c r="O117" s="74"/>
      <c r="P117" s="75"/>
      <c r="Q117" s="75"/>
      <c r="R117" s="258" t="s">
        <v>129</v>
      </c>
      <c r="S117" s="212">
        <v>114</v>
      </c>
      <c r="T117" s="85">
        <v>80</v>
      </c>
      <c r="U117" s="86"/>
      <c r="V117" s="30">
        <f t="shared" si="61"/>
        <v>4.71</v>
      </c>
      <c r="W117" s="30">
        <f t="shared" si="56"/>
        <v>0</v>
      </c>
      <c r="X117" s="30">
        <f t="shared" si="62"/>
        <v>0</v>
      </c>
      <c r="Y117" s="30">
        <f t="shared" si="57"/>
        <v>139.41200000000001</v>
      </c>
      <c r="Z117" s="30">
        <f t="shared" si="60"/>
        <v>125</v>
      </c>
      <c r="AA117" s="30">
        <f t="shared" si="55"/>
        <v>0.6344999999999984</v>
      </c>
      <c r="AB117" s="30">
        <f t="shared" si="54"/>
        <v>138.7775</v>
      </c>
      <c r="AC117" s="95">
        <f>AB117*$O$9</f>
        <v>2451776.5414</v>
      </c>
      <c r="AD117" s="86">
        <f>AC117-K117</f>
        <v>2451776.5414</v>
      </c>
    </row>
    <row r="118" spans="1:30" ht="15" hidden="1" customHeight="1" x14ac:dyDescent="0.25">
      <c r="A118" s="104" t="s">
        <v>73</v>
      </c>
      <c r="B118" s="65">
        <v>100</v>
      </c>
      <c r="C118" s="105">
        <v>45</v>
      </c>
      <c r="D118" s="106" t="s">
        <v>74</v>
      </c>
      <c r="E118" s="107">
        <v>12</v>
      </c>
      <c r="F118" s="107">
        <v>4</v>
      </c>
      <c r="G118" s="108">
        <v>109.45</v>
      </c>
      <c r="H118" s="129">
        <v>13.28</v>
      </c>
      <c r="I118" s="85">
        <v>8.49</v>
      </c>
      <c r="J118" s="71">
        <v>1</v>
      </c>
      <c r="K118" s="72"/>
      <c r="L118" s="128" t="s">
        <v>50</v>
      </c>
      <c r="M118" s="125">
        <v>0.995</v>
      </c>
      <c r="N118" s="74"/>
      <c r="O118" s="74"/>
      <c r="P118" s="75"/>
      <c r="Q118" s="75"/>
      <c r="R118" s="257" t="s">
        <v>126</v>
      </c>
      <c r="S118" s="207">
        <v>7</v>
      </c>
      <c r="T118" s="85">
        <v>7</v>
      </c>
      <c r="V118" s="30">
        <f t="shared" si="61"/>
        <v>3.9839999999999995</v>
      </c>
      <c r="W118" s="30">
        <f t="shared" si="56"/>
        <v>0</v>
      </c>
      <c r="X118" s="30">
        <f t="shared" si="62"/>
        <v>0</v>
      </c>
      <c r="Y118" s="30">
        <f t="shared" si="57"/>
        <v>118.83</v>
      </c>
      <c r="Z118" s="30">
        <f t="shared" si="60"/>
        <v>110</v>
      </c>
      <c r="AA118" s="30">
        <f t="shared" si="55"/>
        <v>0</v>
      </c>
      <c r="AB118" s="30">
        <f t="shared" si="54"/>
        <v>118.83</v>
      </c>
    </row>
    <row r="119" spans="1:30" ht="15" x14ac:dyDescent="0.25">
      <c r="A119" s="177" t="s">
        <v>73</v>
      </c>
      <c r="B119" s="188">
        <v>100</v>
      </c>
      <c r="C119" s="178">
        <v>46</v>
      </c>
      <c r="D119" s="179" t="s">
        <v>75</v>
      </c>
      <c r="E119" s="180">
        <v>12</v>
      </c>
      <c r="F119" s="180">
        <v>3</v>
      </c>
      <c r="G119" s="181">
        <v>80.22</v>
      </c>
      <c r="H119" s="197">
        <v>13.84</v>
      </c>
      <c r="I119" s="2">
        <v>6.36</v>
      </c>
      <c r="J119" s="200">
        <v>1</v>
      </c>
      <c r="K119" s="72">
        <f t="shared" si="51"/>
        <v>1563021.0382831998</v>
      </c>
      <c r="L119" s="128" t="s">
        <v>54</v>
      </c>
      <c r="M119" s="125">
        <v>0.995</v>
      </c>
      <c r="N119" s="74">
        <f>IF(K119*$N$11&lt;(K119-$N$10),K119-$N$10,K119*$N$11)</f>
        <v>1263021.0382831998</v>
      </c>
      <c r="O119" s="74">
        <f>K119*$O$11</f>
        <v>1616163.7535848287</v>
      </c>
      <c r="P119" s="75">
        <f t="shared" si="58"/>
        <v>353142.71530162892</v>
      </c>
      <c r="Q119" s="75">
        <f t="shared" si="59"/>
        <v>1263021.0382831998</v>
      </c>
      <c r="R119" s="257" t="s">
        <v>127</v>
      </c>
      <c r="S119" s="110">
        <v>29</v>
      </c>
      <c r="T119" s="85">
        <v>9</v>
      </c>
      <c r="V119" s="30">
        <f t="shared" si="61"/>
        <v>4.1520000000000001</v>
      </c>
      <c r="W119" s="30">
        <f t="shared" si="56"/>
        <v>0</v>
      </c>
      <c r="X119" s="30">
        <f t="shared" si="62"/>
        <v>0</v>
      </c>
      <c r="Y119" s="30">
        <f t="shared" si="57"/>
        <v>88.915999999999997</v>
      </c>
      <c r="Z119" s="30">
        <f t="shared" si="60"/>
        <v>90</v>
      </c>
      <c r="AA119" s="30">
        <f t="shared" si="55"/>
        <v>0</v>
      </c>
      <c r="AB119" s="30">
        <f t="shared" si="54"/>
        <v>88.915999999999997</v>
      </c>
      <c r="AC119" s="95">
        <f>AB119*$O$9</f>
        <v>1570875.4153599998</v>
      </c>
      <c r="AD119" s="86">
        <f>AC119-K119</f>
        <v>7854.3770767999813</v>
      </c>
    </row>
    <row r="120" spans="1:30" ht="15" x14ac:dyDescent="0.25">
      <c r="A120" s="161" t="s">
        <v>73</v>
      </c>
      <c r="B120" s="188">
        <v>100</v>
      </c>
      <c r="C120" s="163">
        <v>47</v>
      </c>
      <c r="D120" s="164" t="s">
        <v>76</v>
      </c>
      <c r="E120" s="165">
        <v>12</v>
      </c>
      <c r="F120" s="165">
        <v>5</v>
      </c>
      <c r="G120" s="166">
        <v>130.59</v>
      </c>
      <c r="H120" s="198">
        <v>12.21</v>
      </c>
      <c r="I120" s="2">
        <v>6.24</v>
      </c>
      <c r="J120" s="200">
        <v>2</v>
      </c>
      <c r="K120" s="72">
        <f t="shared" si="51"/>
        <v>2459434.2410446</v>
      </c>
      <c r="L120" s="128" t="s">
        <v>54</v>
      </c>
      <c r="M120" s="125">
        <v>0.995</v>
      </c>
      <c r="N120" s="74">
        <f>IF(K120*$N$11&lt;(K120-$N$10),K120-$N$10,K120*$N$11)</f>
        <v>2159434.2410446</v>
      </c>
      <c r="O120" s="74">
        <f>K120*$O$11</f>
        <v>2543055.0052401167</v>
      </c>
      <c r="P120" s="75">
        <f t="shared" si="58"/>
        <v>383620.76419551671</v>
      </c>
      <c r="Q120" s="75">
        <f t="shared" si="59"/>
        <v>2159434.2410446</v>
      </c>
      <c r="R120" s="257" t="s">
        <v>128</v>
      </c>
      <c r="S120" s="208">
        <v>148149</v>
      </c>
      <c r="T120" s="85">
        <v>81</v>
      </c>
      <c r="U120" s="86"/>
      <c r="V120" s="30">
        <f t="shared" si="61"/>
        <v>3.6630000000000003</v>
      </c>
      <c r="W120" s="30">
        <f t="shared" si="56"/>
        <v>0</v>
      </c>
      <c r="X120" s="30">
        <f t="shared" si="62"/>
        <v>0</v>
      </c>
      <c r="Y120" s="30">
        <f t="shared" si="57"/>
        <v>140.74900000000002</v>
      </c>
      <c r="Z120" s="30">
        <f t="shared" si="60"/>
        <v>125</v>
      </c>
      <c r="AA120" s="30">
        <f t="shared" si="55"/>
        <v>0.83850000000000047</v>
      </c>
      <c r="AB120" s="30">
        <f t="shared" si="54"/>
        <v>139.91050000000001</v>
      </c>
      <c r="AC120" s="95">
        <f>AB120*$O$9</f>
        <v>2471793.2070800001</v>
      </c>
      <c r="AD120" s="86">
        <f>AC120-K120</f>
        <v>12358.966035400052</v>
      </c>
    </row>
    <row r="121" spans="1:30" ht="15.75" hidden="1" thickBot="1" x14ac:dyDescent="0.3">
      <c r="A121" s="77" t="s">
        <v>73</v>
      </c>
      <c r="B121" s="65">
        <v>100</v>
      </c>
      <c r="C121" s="79">
        <v>48</v>
      </c>
      <c r="D121" s="80" t="s">
        <v>77</v>
      </c>
      <c r="E121" s="81">
        <v>12</v>
      </c>
      <c r="F121" s="81">
        <v>5</v>
      </c>
      <c r="G121" s="82">
        <v>129.22999999999999</v>
      </c>
      <c r="H121" s="130">
        <v>15.7</v>
      </c>
      <c r="I121" s="85">
        <v>8.68</v>
      </c>
      <c r="J121" s="71">
        <v>1</v>
      </c>
      <c r="K121" s="72"/>
      <c r="L121" s="128" t="s">
        <v>50</v>
      </c>
      <c r="M121" s="125">
        <v>0.995</v>
      </c>
      <c r="N121" s="74"/>
      <c r="O121" s="74"/>
      <c r="P121" s="75"/>
      <c r="Q121" s="75"/>
      <c r="R121" s="258" t="s">
        <v>129</v>
      </c>
      <c r="S121" s="214">
        <v>28</v>
      </c>
      <c r="T121" s="85">
        <v>82</v>
      </c>
      <c r="U121" s="86"/>
      <c r="V121" s="30">
        <f t="shared" si="61"/>
        <v>4.71</v>
      </c>
      <c r="W121" s="30">
        <f t="shared" si="56"/>
        <v>0</v>
      </c>
      <c r="X121" s="30">
        <f t="shared" si="62"/>
        <v>0</v>
      </c>
      <c r="Y121" s="30">
        <f t="shared" si="57"/>
        <v>139.41200000000001</v>
      </c>
      <c r="Z121" s="30">
        <f t="shared" si="60"/>
        <v>125</v>
      </c>
      <c r="AA121" s="30">
        <f t="shared" si="55"/>
        <v>0.6344999999999984</v>
      </c>
      <c r="AB121" s="30">
        <f t="shared" si="54"/>
        <v>138.7775</v>
      </c>
      <c r="AC121" s="95">
        <f>AB121*$O$9</f>
        <v>2451776.5414</v>
      </c>
      <c r="AD121" s="86">
        <f>AC121-K121</f>
        <v>2451776.5414</v>
      </c>
    </row>
    <row r="122" spans="1:30" ht="15" customHeight="1" x14ac:dyDescent="0.25">
      <c r="A122" s="172" t="s">
        <v>73</v>
      </c>
      <c r="B122" s="188">
        <v>100</v>
      </c>
      <c r="C122" s="173">
        <v>49</v>
      </c>
      <c r="D122" s="174" t="s">
        <v>74</v>
      </c>
      <c r="E122" s="175">
        <v>13</v>
      </c>
      <c r="F122" s="175">
        <v>4</v>
      </c>
      <c r="G122" s="176">
        <v>109.45</v>
      </c>
      <c r="H122" s="196">
        <v>13.28</v>
      </c>
      <c r="I122" s="2">
        <v>5.62</v>
      </c>
      <c r="J122" s="200">
        <v>1</v>
      </c>
      <c r="K122" s="72">
        <f t="shared" si="51"/>
        <v>2079083.1867199999</v>
      </c>
      <c r="L122" s="128" t="s">
        <v>54</v>
      </c>
      <c r="M122" s="125">
        <v>1</v>
      </c>
      <c r="N122" s="74">
        <f>IF(K122*$N$11&lt;(K122-$N$10),K122-$N$10,K122*$N$11)</f>
        <v>1779083.1867199999</v>
      </c>
      <c r="O122" s="74">
        <f>K122*$O$11</f>
        <v>2149772.0150684798</v>
      </c>
      <c r="P122" s="75">
        <f t="shared" si="58"/>
        <v>370688.82834847993</v>
      </c>
      <c r="Q122" s="75">
        <f t="shared" si="59"/>
        <v>1779083.1867199999</v>
      </c>
      <c r="R122" s="257" t="s">
        <v>126</v>
      </c>
      <c r="S122" s="207">
        <v>14</v>
      </c>
      <c r="T122" s="85">
        <v>10</v>
      </c>
      <c r="V122" s="30">
        <f t="shared" si="61"/>
        <v>3.9839999999999995</v>
      </c>
      <c r="W122" s="30">
        <f t="shared" si="56"/>
        <v>0</v>
      </c>
      <c r="X122" s="30">
        <f t="shared" si="62"/>
        <v>0</v>
      </c>
      <c r="Y122" s="30">
        <f t="shared" si="57"/>
        <v>117.682</v>
      </c>
      <c r="Z122" s="30">
        <f t="shared" si="60"/>
        <v>110</v>
      </c>
      <c r="AA122" s="30">
        <f t="shared" si="55"/>
        <v>0</v>
      </c>
      <c r="AB122" s="30">
        <f t="shared" si="54"/>
        <v>117.682</v>
      </c>
    </row>
    <row r="123" spans="1:30" ht="15" x14ac:dyDescent="0.25">
      <c r="A123" s="241" t="s">
        <v>73</v>
      </c>
      <c r="B123" s="188">
        <v>100</v>
      </c>
      <c r="C123" s="242">
        <v>50</v>
      </c>
      <c r="D123" s="243" t="s">
        <v>75</v>
      </c>
      <c r="E123" s="2">
        <v>13</v>
      </c>
      <c r="F123" s="2">
        <v>3</v>
      </c>
      <c r="G123" s="14">
        <v>80.22</v>
      </c>
      <c r="H123" s="15">
        <v>13.84</v>
      </c>
      <c r="I123" s="2">
        <v>7.2</v>
      </c>
      <c r="J123" s="200">
        <v>1</v>
      </c>
      <c r="K123" s="72">
        <f t="shared" si="51"/>
        <v>1576811.5139199998</v>
      </c>
      <c r="L123" s="128" t="s">
        <v>54</v>
      </c>
      <c r="M123" s="125">
        <v>1</v>
      </c>
      <c r="N123" s="123">
        <f>IF(K123*$N$11&lt;(K123-$N$10),K123-$N$10,K123*$N$11)</f>
        <v>1276811.5139199998</v>
      </c>
      <c r="O123" s="123">
        <f>K123*$O$11</f>
        <v>1630423.1053932798</v>
      </c>
      <c r="P123" s="75">
        <f t="shared" si="58"/>
        <v>353611.59147327999</v>
      </c>
      <c r="Q123" s="75">
        <f t="shared" si="59"/>
        <v>1276811.5139199998</v>
      </c>
      <c r="R123" s="257" t="s">
        <v>127</v>
      </c>
      <c r="S123" s="110">
        <v>6</v>
      </c>
      <c r="T123" s="85">
        <v>11</v>
      </c>
      <c r="V123" s="30">
        <f t="shared" si="61"/>
        <v>4.1520000000000001</v>
      </c>
      <c r="W123" s="30">
        <f t="shared" si="56"/>
        <v>0</v>
      </c>
      <c r="X123" s="30">
        <f t="shared" si="62"/>
        <v>0</v>
      </c>
      <c r="Y123" s="30">
        <f t="shared" si="57"/>
        <v>89.251999999999995</v>
      </c>
      <c r="Z123" s="30">
        <f t="shared" si="60"/>
        <v>90</v>
      </c>
      <c r="AA123" s="30">
        <f t="shared" si="55"/>
        <v>0</v>
      </c>
      <c r="AB123" s="30">
        <f t="shared" si="54"/>
        <v>89.251999999999995</v>
      </c>
      <c r="AC123" s="95">
        <f>AB123*$O$9</f>
        <v>1576811.5139199998</v>
      </c>
      <c r="AD123" s="86">
        <f>AC123-K123</f>
        <v>0</v>
      </c>
    </row>
    <row r="124" spans="1:30" ht="15" hidden="1" customHeight="1" x14ac:dyDescent="0.25">
      <c r="A124" s="247" t="s">
        <v>73</v>
      </c>
      <c r="B124" s="65">
        <v>100</v>
      </c>
      <c r="C124" s="248">
        <v>51</v>
      </c>
      <c r="D124" s="249" t="s">
        <v>76</v>
      </c>
      <c r="E124" s="250">
        <v>13</v>
      </c>
      <c r="F124" s="250">
        <v>5</v>
      </c>
      <c r="G124" s="251">
        <v>130.59</v>
      </c>
      <c r="H124" s="252">
        <v>12.21</v>
      </c>
      <c r="I124" s="85">
        <v>6.24</v>
      </c>
      <c r="J124" s="71">
        <v>1</v>
      </c>
      <c r="K124" s="72"/>
      <c r="L124" s="128" t="s">
        <v>50</v>
      </c>
      <c r="M124" s="125">
        <v>1</v>
      </c>
      <c r="N124" s="123"/>
      <c r="O124" s="123"/>
      <c r="P124" s="75"/>
      <c r="Q124" s="75"/>
      <c r="R124" s="257" t="s">
        <v>128</v>
      </c>
      <c r="S124" s="207">
        <v>80</v>
      </c>
      <c r="T124" s="85">
        <v>83</v>
      </c>
      <c r="U124" s="86">
        <f>P124-500000</f>
        <v>-500000</v>
      </c>
      <c r="V124" s="30">
        <f t="shared" si="61"/>
        <v>3.6630000000000003</v>
      </c>
      <c r="W124" s="30">
        <f t="shared" si="56"/>
        <v>0</v>
      </c>
      <c r="X124" s="30">
        <f t="shared" si="62"/>
        <v>0</v>
      </c>
      <c r="Y124" s="30">
        <f t="shared" si="57"/>
        <v>138.74900000000002</v>
      </c>
      <c r="Z124" s="30">
        <f t="shared" si="60"/>
        <v>125</v>
      </c>
      <c r="AA124" s="30">
        <f t="shared" si="55"/>
        <v>0.83850000000000047</v>
      </c>
      <c r="AB124" s="30">
        <f t="shared" si="54"/>
        <v>137.91050000000001</v>
      </c>
    </row>
    <row r="125" spans="1:30" ht="15.75" hidden="1" customHeight="1" thickBot="1" x14ac:dyDescent="0.3">
      <c r="A125" s="227" t="s">
        <v>73</v>
      </c>
      <c r="B125" s="65">
        <v>100</v>
      </c>
      <c r="C125" s="228">
        <v>52</v>
      </c>
      <c r="D125" s="80" t="s">
        <v>77</v>
      </c>
      <c r="E125" s="80">
        <v>13</v>
      </c>
      <c r="F125" s="80">
        <v>5</v>
      </c>
      <c r="G125" s="230">
        <v>129.22999999999999</v>
      </c>
      <c r="H125" s="253">
        <v>15.7</v>
      </c>
      <c r="I125" s="85">
        <v>8.68</v>
      </c>
      <c r="J125" s="71">
        <v>1</v>
      </c>
      <c r="K125" s="72"/>
      <c r="L125" s="128" t="s">
        <v>50</v>
      </c>
      <c r="M125" s="125">
        <v>1</v>
      </c>
      <c r="N125" s="123"/>
      <c r="O125" s="123"/>
      <c r="P125" s="75"/>
      <c r="Q125" s="75"/>
      <c r="R125" s="258" t="s">
        <v>129</v>
      </c>
      <c r="S125" s="207">
        <v>81</v>
      </c>
      <c r="T125" s="85">
        <v>84</v>
      </c>
      <c r="U125" s="86">
        <f>P125-500000</f>
        <v>-500000</v>
      </c>
      <c r="V125" s="30">
        <f t="shared" si="61"/>
        <v>4.71</v>
      </c>
      <c r="W125" s="30">
        <f t="shared" si="56"/>
        <v>0</v>
      </c>
      <c r="X125" s="30">
        <f t="shared" si="62"/>
        <v>0</v>
      </c>
      <c r="Y125" s="30">
        <f t="shared" si="57"/>
        <v>139.41200000000001</v>
      </c>
      <c r="Z125" s="30">
        <f t="shared" si="60"/>
        <v>125</v>
      </c>
      <c r="AA125" s="30">
        <f t="shared" ref="AA125:AA156" si="63">IF(G125&gt;Z125,(G125-Z125)*0.15,0)</f>
        <v>0.6344999999999984</v>
      </c>
      <c r="AB125" s="30">
        <f t="shared" si="54"/>
        <v>138.7775</v>
      </c>
    </row>
    <row r="126" spans="1:30" ht="15" hidden="1" customHeight="1" x14ac:dyDescent="0.25">
      <c r="A126" s="215" t="s">
        <v>73</v>
      </c>
      <c r="B126" s="65">
        <v>100</v>
      </c>
      <c r="C126" s="126">
        <v>53</v>
      </c>
      <c r="D126" s="127" t="s">
        <v>74</v>
      </c>
      <c r="E126" s="111">
        <v>14</v>
      </c>
      <c r="F126" s="111">
        <v>4</v>
      </c>
      <c r="G126" s="112">
        <v>109.45</v>
      </c>
      <c r="H126" s="254">
        <v>13.28</v>
      </c>
      <c r="I126" s="85">
        <v>5.77</v>
      </c>
      <c r="J126" s="71">
        <v>1</v>
      </c>
      <c r="K126" s="72"/>
      <c r="L126" s="128" t="s">
        <v>50</v>
      </c>
      <c r="M126" s="125">
        <v>1.0049999999999999</v>
      </c>
      <c r="N126" s="123"/>
      <c r="O126" s="123"/>
      <c r="P126" s="75"/>
      <c r="Q126" s="75"/>
      <c r="R126" s="257" t="s">
        <v>126</v>
      </c>
      <c r="S126" s="207">
        <v>26</v>
      </c>
      <c r="T126" s="85">
        <v>12</v>
      </c>
      <c r="V126" s="30">
        <f t="shared" si="61"/>
        <v>3.9839999999999995</v>
      </c>
      <c r="W126" s="30">
        <f t="shared" si="56"/>
        <v>0</v>
      </c>
      <c r="X126" s="30">
        <f t="shared" si="62"/>
        <v>0</v>
      </c>
      <c r="Y126" s="30">
        <f t="shared" si="57"/>
        <v>117.74199999999999</v>
      </c>
      <c r="Z126" s="30">
        <f t="shared" si="60"/>
        <v>110</v>
      </c>
      <c r="AA126" s="30">
        <f t="shared" si="63"/>
        <v>0</v>
      </c>
      <c r="AB126" s="30">
        <f t="shared" si="54"/>
        <v>117.74199999999999</v>
      </c>
    </row>
    <row r="127" spans="1:30" ht="15" x14ac:dyDescent="0.25">
      <c r="A127" s="241" t="s">
        <v>73</v>
      </c>
      <c r="B127" s="188">
        <v>100</v>
      </c>
      <c r="C127" s="242">
        <v>54</v>
      </c>
      <c r="D127" s="243" t="s">
        <v>75</v>
      </c>
      <c r="E127" s="2">
        <v>14</v>
      </c>
      <c r="F127" s="2">
        <v>3</v>
      </c>
      <c r="G127" s="14">
        <v>80.22</v>
      </c>
      <c r="H127" s="15">
        <v>13.84</v>
      </c>
      <c r="I127" s="200">
        <v>6.39</v>
      </c>
      <c r="J127" s="200">
        <v>1</v>
      </c>
      <c r="K127" s="72">
        <f t="shared" si="51"/>
        <v>1578942.8559743997</v>
      </c>
      <c r="L127" s="128" t="s">
        <v>54</v>
      </c>
      <c r="M127" s="125">
        <v>1.0049999999999999</v>
      </c>
      <c r="N127" s="123">
        <f>IF(K127*$N$11&lt;(K127-$N$10),K127-$N$10,K127*$N$11)</f>
        <v>1278942.8559743997</v>
      </c>
      <c r="O127" s="123">
        <f>K127*$O$11</f>
        <v>1632626.9130775293</v>
      </c>
      <c r="P127" s="75">
        <f t="shared" si="58"/>
        <v>353684.05710312957</v>
      </c>
      <c r="Q127" s="75">
        <f t="shared" si="59"/>
        <v>1278942.8559743997</v>
      </c>
      <c r="R127" s="257" t="s">
        <v>127</v>
      </c>
      <c r="S127" s="110">
        <v>84</v>
      </c>
      <c r="T127" s="85">
        <v>13</v>
      </c>
      <c r="V127" s="30">
        <f t="shared" si="61"/>
        <v>4.1520000000000001</v>
      </c>
      <c r="W127" s="30">
        <f t="shared" si="56"/>
        <v>0</v>
      </c>
      <c r="X127" s="30">
        <f t="shared" si="62"/>
        <v>0</v>
      </c>
      <c r="Y127" s="30">
        <f t="shared" si="57"/>
        <v>88.927999999999997</v>
      </c>
      <c r="Z127" s="30">
        <f t="shared" si="60"/>
        <v>90</v>
      </c>
      <c r="AA127" s="30">
        <f t="shared" si="63"/>
        <v>0</v>
      </c>
      <c r="AB127" s="30">
        <f t="shared" si="54"/>
        <v>88.927999999999997</v>
      </c>
      <c r="AC127" s="95">
        <f>AB127*$O$9</f>
        <v>1571087.4188799998</v>
      </c>
      <c r="AD127" s="86">
        <f>AC127-K127</f>
        <v>-7855.4370943999384</v>
      </c>
    </row>
    <row r="128" spans="1:30" ht="15" hidden="1" customHeight="1" x14ac:dyDescent="0.25">
      <c r="A128" s="247" t="s">
        <v>73</v>
      </c>
      <c r="B128" s="65">
        <v>100</v>
      </c>
      <c r="C128" s="248">
        <v>55</v>
      </c>
      <c r="D128" s="249" t="s">
        <v>76</v>
      </c>
      <c r="E128" s="250">
        <v>14</v>
      </c>
      <c r="F128" s="250">
        <v>5</v>
      </c>
      <c r="G128" s="251">
        <v>130.59</v>
      </c>
      <c r="H128" s="252">
        <v>12.21</v>
      </c>
      <c r="I128" s="71">
        <v>6.24</v>
      </c>
      <c r="J128" s="71">
        <v>1</v>
      </c>
      <c r="K128" s="72"/>
      <c r="L128" s="128" t="s">
        <v>50</v>
      </c>
      <c r="M128" s="125">
        <v>1.0049999999999999</v>
      </c>
      <c r="N128" s="123"/>
      <c r="O128" s="123"/>
      <c r="P128" s="75"/>
      <c r="Q128" s="75"/>
      <c r="R128" s="257" t="s">
        <v>128</v>
      </c>
      <c r="S128" s="207">
        <v>143</v>
      </c>
      <c r="T128" s="85">
        <v>85</v>
      </c>
      <c r="U128" s="86">
        <f>P128-500000</f>
        <v>-500000</v>
      </c>
      <c r="V128" s="30">
        <f t="shared" si="61"/>
        <v>3.6630000000000003</v>
      </c>
      <c r="W128" s="30">
        <f t="shared" si="56"/>
        <v>0</v>
      </c>
      <c r="X128" s="30">
        <f t="shared" si="62"/>
        <v>0</v>
      </c>
      <c r="Y128" s="30">
        <f t="shared" si="57"/>
        <v>138.74900000000002</v>
      </c>
      <c r="Z128" s="30">
        <f t="shared" si="60"/>
        <v>125</v>
      </c>
      <c r="AA128" s="30">
        <f t="shared" si="63"/>
        <v>0.83850000000000047</v>
      </c>
      <c r="AB128" s="30">
        <f t="shared" si="54"/>
        <v>137.91050000000001</v>
      </c>
    </row>
    <row r="129" spans="1:30" ht="15.75" hidden="1" customHeight="1" thickBot="1" x14ac:dyDescent="0.3">
      <c r="A129" s="227" t="s">
        <v>73</v>
      </c>
      <c r="B129" s="65">
        <v>100</v>
      </c>
      <c r="C129" s="228">
        <v>56</v>
      </c>
      <c r="D129" s="80" t="s">
        <v>77</v>
      </c>
      <c r="E129" s="80">
        <v>14</v>
      </c>
      <c r="F129" s="80">
        <v>5</v>
      </c>
      <c r="G129" s="230">
        <v>129.28</v>
      </c>
      <c r="H129" s="253">
        <v>15.72</v>
      </c>
      <c r="I129" s="71">
        <v>8.68</v>
      </c>
      <c r="J129" s="71">
        <v>1</v>
      </c>
      <c r="K129" s="72"/>
      <c r="L129" s="128" t="s">
        <v>50</v>
      </c>
      <c r="M129" s="125">
        <v>1.0049999999999999</v>
      </c>
      <c r="N129" s="123"/>
      <c r="O129" s="123"/>
      <c r="P129" s="75"/>
      <c r="Q129" s="75"/>
      <c r="R129" s="258" t="s">
        <v>129</v>
      </c>
      <c r="S129" s="207">
        <v>94</v>
      </c>
      <c r="T129" s="85">
        <v>86</v>
      </c>
      <c r="U129" s="86">
        <f>P129-500000</f>
        <v>-500000</v>
      </c>
      <c r="V129" s="30">
        <f t="shared" si="61"/>
        <v>4.7160000000000002</v>
      </c>
      <c r="W129" s="30">
        <f t="shared" si="56"/>
        <v>0</v>
      </c>
      <c r="X129" s="30">
        <f t="shared" si="62"/>
        <v>0</v>
      </c>
      <c r="Y129" s="30">
        <f t="shared" si="57"/>
        <v>139.46800000000002</v>
      </c>
      <c r="Z129" s="30">
        <f t="shared" si="60"/>
        <v>125</v>
      </c>
      <c r="AA129" s="30">
        <f t="shared" si="63"/>
        <v>0.64200000000000013</v>
      </c>
      <c r="AB129" s="30">
        <f t="shared" si="54"/>
        <v>138.82600000000002</v>
      </c>
    </row>
    <row r="130" spans="1:30" ht="15" hidden="1" customHeight="1" x14ac:dyDescent="0.25">
      <c r="A130" s="215" t="s">
        <v>73</v>
      </c>
      <c r="B130" s="65">
        <v>100</v>
      </c>
      <c r="C130" s="126">
        <v>57</v>
      </c>
      <c r="D130" s="127" t="s">
        <v>74</v>
      </c>
      <c r="E130" s="111">
        <v>15</v>
      </c>
      <c r="F130" s="111">
        <v>4</v>
      </c>
      <c r="G130" s="112">
        <v>109.45</v>
      </c>
      <c r="H130" s="254">
        <v>13.28</v>
      </c>
      <c r="I130" s="71">
        <v>5.99</v>
      </c>
      <c r="J130" s="71">
        <v>1</v>
      </c>
      <c r="K130" s="72"/>
      <c r="L130" s="128" t="s">
        <v>50</v>
      </c>
      <c r="M130" s="125">
        <v>1.01</v>
      </c>
      <c r="N130" s="123"/>
      <c r="O130" s="123"/>
      <c r="P130" s="75"/>
      <c r="Q130" s="75"/>
      <c r="R130" s="257" t="s">
        <v>126</v>
      </c>
      <c r="S130" s="207">
        <v>27</v>
      </c>
      <c r="T130" s="85">
        <v>14</v>
      </c>
      <c r="V130" s="30">
        <f t="shared" si="61"/>
        <v>3.9839999999999995</v>
      </c>
      <c r="W130" s="30">
        <f t="shared" si="56"/>
        <v>0</v>
      </c>
      <c r="X130" s="30">
        <f t="shared" si="62"/>
        <v>0</v>
      </c>
      <c r="Y130" s="30">
        <f t="shared" si="57"/>
        <v>117.83</v>
      </c>
      <c r="Z130" s="30">
        <f t="shared" si="60"/>
        <v>110</v>
      </c>
      <c r="AA130" s="30">
        <f t="shared" si="63"/>
        <v>0</v>
      </c>
      <c r="AB130" s="30">
        <f t="shared" si="54"/>
        <v>117.83</v>
      </c>
    </row>
    <row r="131" spans="1:30" ht="15" x14ac:dyDescent="0.25">
      <c r="A131" s="241" t="s">
        <v>73</v>
      </c>
      <c r="B131" s="188">
        <v>100</v>
      </c>
      <c r="C131" s="242">
        <v>58</v>
      </c>
      <c r="D131" s="243" t="s">
        <v>75</v>
      </c>
      <c r="E131" s="2">
        <v>15</v>
      </c>
      <c r="F131" s="2">
        <v>3</v>
      </c>
      <c r="G131" s="14">
        <v>80.22</v>
      </c>
      <c r="H131" s="15">
        <v>13.84</v>
      </c>
      <c r="I131" s="71">
        <v>5.84</v>
      </c>
      <c r="J131" s="71">
        <v>1</v>
      </c>
      <c r="K131" s="72">
        <f t="shared" si="51"/>
        <v>1582872.6945568</v>
      </c>
      <c r="L131" s="128" t="s">
        <v>54</v>
      </c>
      <c r="M131" s="125">
        <v>1.01</v>
      </c>
      <c r="N131" s="123">
        <f>IF(K131*$N$11&lt;(K131-$N$10),K131-$N$10,K131*$N$11)</f>
        <v>1282872.6945568</v>
      </c>
      <c r="O131" s="123">
        <f>K131*$O$11</f>
        <v>1636690.3661717311</v>
      </c>
      <c r="P131" s="75">
        <f t="shared" si="58"/>
        <v>353817.6716149312</v>
      </c>
      <c r="Q131" s="75">
        <f t="shared" si="59"/>
        <v>1282872.6945568</v>
      </c>
      <c r="R131" s="257" t="s">
        <v>127</v>
      </c>
      <c r="S131" s="110">
        <v>73</v>
      </c>
      <c r="T131" s="85">
        <v>15</v>
      </c>
      <c r="V131" s="30">
        <f t="shared" si="61"/>
        <v>4.1520000000000001</v>
      </c>
      <c r="W131" s="30">
        <f t="shared" si="56"/>
        <v>0</v>
      </c>
      <c r="X131" s="30">
        <f t="shared" si="62"/>
        <v>0</v>
      </c>
      <c r="Y131" s="30">
        <f t="shared" si="57"/>
        <v>88.707999999999998</v>
      </c>
      <c r="Z131" s="30">
        <f t="shared" si="60"/>
        <v>90</v>
      </c>
      <c r="AA131" s="30">
        <f t="shared" si="63"/>
        <v>0</v>
      </c>
      <c r="AB131" s="30">
        <f t="shared" si="54"/>
        <v>88.707999999999998</v>
      </c>
      <c r="AC131" s="95">
        <f>AB131*$O$9</f>
        <v>1567200.68768</v>
      </c>
      <c r="AD131" s="86">
        <f>AC131-K131</f>
        <v>-15672.006876799976</v>
      </c>
    </row>
    <row r="132" spans="1:30" ht="15" hidden="1" customHeight="1" x14ac:dyDescent="0.25">
      <c r="A132" s="247" t="s">
        <v>73</v>
      </c>
      <c r="B132" s="65">
        <v>100</v>
      </c>
      <c r="C132" s="248">
        <v>59</v>
      </c>
      <c r="D132" s="249" t="s">
        <v>76</v>
      </c>
      <c r="E132" s="250">
        <v>15</v>
      </c>
      <c r="F132" s="250">
        <v>5</v>
      </c>
      <c r="G132" s="251">
        <v>130.59</v>
      </c>
      <c r="H132" s="252">
        <v>12.21</v>
      </c>
      <c r="I132" s="71">
        <v>6.24</v>
      </c>
      <c r="J132" s="71">
        <v>1</v>
      </c>
      <c r="K132" s="72"/>
      <c r="L132" s="128" t="s">
        <v>50</v>
      </c>
      <c r="M132" s="125">
        <v>1.01</v>
      </c>
      <c r="N132" s="123"/>
      <c r="O132" s="123"/>
      <c r="P132" s="75"/>
      <c r="Q132" s="75"/>
      <c r="R132" s="257" t="s">
        <v>128</v>
      </c>
      <c r="S132" s="207">
        <v>93</v>
      </c>
      <c r="T132" s="85">
        <v>87</v>
      </c>
      <c r="U132" s="86">
        <f>P132-500000</f>
        <v>-500000</v>
      </c>
      <c r="V132" s="30">
        <f t="shared" si="61"/>
        <v>3.6630000000000003</v>
      </c>
      <c r="W132" s="30">
        <f t="shared" si="56"/>
        <v>0</v>
      </c>
      <c r="X132" s="30">
        <f t="shared" si="62"/>
        <v>0</v>
      </c>
      <c r="Y132" s="30">
        <f t="shared" si="57"/>
        <v>138.74900000000002</v>
      </c>
      <c r="Z132" s="30">
        <f t="shared" si="60"/>
        <v>125</v>
      </c>
      <c r="AA132" s="30">
        <f t="shared" si="63"/>
        <v>0.83850000000000047</v>
      </c>
      <c r="AB132" s="30">
        <f t="shared" si="54"/>
        <v>137.91050000000001</v>
      </c>
    </row>
    <row r="133" spans="1:30" ht="15.75" hidden="1" customHeight="1" thickBot="1" x14ac:dyDescent="0.3">
      <c r="A133" s="227" t="s">
        <v>73</v>
      </c>
      <c r="B133" s="65">
        <v>100</v>
      </c>
      <c r="C133" s="228">
        <v>60</v>
      </c>
      <c r="D133" s="80" t="s">
        <v>77</v>
      </c>
      <c r="E133" s="80">
        <v>15</v>
      </c>
      <c r="F133" s="80">
        <v>5</v>
      </c>
      <c r="G133" s="230">
        <v>129.22999999999999</v>
      </c>
      <c r="H133" s="253">
        <v>15.72</v>
      </c>
      <c r="I133" s="71">
        <v>8.68</v>
      </c>
      <c r="J133" s="71">
        <v>1</v>
      </c>
      <c r="K133" s="72"/>
      <c r="L133" s="128" t="s">
        <v>50</v>
      </c>
      <c r="M133" s="125">
        <v>1.01</v>
      </c>
      <c r="N133" s="123"/>
      <c r="O133" s="123"/>
      <c r="P133" s="75"/>
      <c r="Q133" s="75"/>
      <c r="R133" s="258" t="s">
        <v>129</v>
      </c>
      <c r="S133" s="207">
        <v>30</v>
      </c>
      <c r="T133" s="85">
        <v>88</v>
      </c>
      <c r="U133" s="86">
        <f>P133-500000</f>
        <v>-500000</v>
      </c>
      <c r="V133" s="30">
        <f t="shared" si="61"/>
        <v>4.7160000000000002</v>
      </c>
      <c r="W133" s="30">
        <f t="shared" si="56"/>
        <v>0</v>
      </c>
      <c r="X133" s="30">
        <f t="shared" si="62"/>
        <v>0</v>
      </c>
      <c r="Y133" s="30">
        <f t="shared" si="57"/>
        <v>139.41800000000001</v>
      </c>
      <c r="Z133" s="30">
        <f t="shared" si="60"/>
        <v>125</v>
      </c>
      <c r="AA133" s="30">
        <f t="shared" si="63"/>
        <v>0.6344999999999984</v>
      </c>
      <c r="AB133" s="30">
        <f t="shared" si="54"/>
        <v>138.7835</v>
      </c>
    </row>
    <row r="134" spans="1:30" ht="15" hidden="1" customHeight="1" x14ac:dyDescent="0.25">
      <c r="A134" s="215" t="s">
        <v>73</v>
      </c>
      <c r="B134" s="65">
        <v>100</v>
      </c>
      <c r="C134" s="126">
        <v>61</v>
      </c>
      <c r="D134" s="127" t="s">
        <v>74</v>
      </c>
      <c r="E134" s="111">
        <v>16</v>
      </c>
      <c r="F134" s="111">
        <v>4</v>
      </c>
      <c r="G134" s="112">
        <v>109.45</v>
      </c>
      <c r="H134" s="254">
        <v>13.28</v>
      </c>
      <c r="I134" s="71">
        <v>5.66</v>
      </c>
      <c r="J134" s="71">
        <v>1</v>
      </c>
      <c r="K134" s="72"/>
      <c r="L134" s="128" t="s">
        <v>50</v>
      </c>
      <c r="M134" s="125">
        <v>1.0149999999999999</v>
      </c>
      <c r="N134" s="123"/>
      <c r="O134" s="123"/>
      <c r="P134" s="75"/>
      <c r="Q134" s="75"/>
      <c r="R134" s="257" t="s">
        <v>126</v>
      </c>
      <c r="S134" s="207">
        <v>129</v>
      </c>
      <c r="T134" s="85">
        <v>16</v>
      </c>
      <c r="V134" s="30">
        <f t="shared" si="61"/>
        <v>3.9839999999999995</v>
      </c>
      <c r="W134" s="30">
        <f t="shared" si="56"/>
        <v>0</v>
      </c>
      <c r="X134" s="30">
        <f t="shared" si="62"/>
        <v>0</v>
      </c>
      <c r="Y134" s="30">
        <f t="shared" si="57"/>
        <v>117.69799999999999</v>
      </c>
      <c r="Z134" s="30">
        <f t="shared" si="60"/>
        <v>110</v>
      </c>
      <c r="AA134" s="30">
        <f t="shared" si="63"/>
        <v>0</v>
      </c>
      <c r="AB134" s="30">
        <f t="shared" si="54"/>
        <v>117.69799999999999</v>
      </c>
    </row>
    <row r="135" spans="1:30" ht="15" hidden="1" x14ac:dyDescent="0.25">
      <c r="A135" s="216" t="s">
        <v>73</v>
      </c>
      <c r="B135" s="65">
        <v>100</v>
      </c>
      <c r="C135" s="217">
        <v>62</v>
      </c>
      <c r="D135" s="218" t="s">
        <v>75</v>
      </c>
      <c r="E135" s="85">
        <v>16</v>
      </c>
      <c r="F135" s="85">
        <v>3</v>
      </c>
      <c r="G135" s="219">
        <v>80.22</v>
      </c>
      <c r="H135" s="255">
        <v>13.84</v>
      </c>
      <c r="I135" s="71">
        <v>5.99</v>
      </c>
      <c r="J135" s="71">
        <v>1</v>
      </c>
      <c r="K135" s="72"/>
      <c r="L135" s="128" t="s">
        <v>50</v>
      </c>
      <c r="M135" s="125">
        <v>1.0149999999999999</v>
      </c>
      <c r="N135" s="123"/>
      <c r="O135" s="123"/>
      <c r="P135" s="75"/>
      <c r="Q135" s="75"/>
      <c r="R135" s="257" t="s">
        <v>127</v>
      </c>
      <c r="S135" s="207">
        <v>12</v>
      </c>
      <c r="T135" s="85">
        <v>17</v>
      </c>
      <c r="V135" s="30">
        <f t="shared" si="61"/>
        <v>4.1520000000000001</v>
      </c>
      <c r="W135" s="30">
        <f t="shared" si="56"/>
        <v>0</v>
      </c>
      <c r="X135" s="30">
        <f t="shared" si="62"/>
        <v>0</v>
      </c>
      <c r="Y135" s="30">
        <f t="shared" si="57"/>
        <v>88.768000000000001</v>
      </c>
      <c r="Z135" s="30">
        <f t="shared" si="60"/>
        <v>90</v>
      </c>
      <c r="AA135" s="30">
        <f t="shared" si="63"/>
        <v>0</v>
      </c>
      <c r="AB135" s="30">
        <f t="shared" si="54"/>
        <v>88.768000000000001</v>
      </c>
      <c r="AC135" s="95">
        <f>AB135*$O$9</f>
        <v>1568260.7052799999</v>
      </c>
      <c r="AD135" s="86">
        <f>AC135-K135</f>
        <v>1568260.7052799999</v>
      </c>
    </row>
    <row r="136" spans="1:30" ht="15" hidden="1" customHeight="1" x14ac:dyDescent="0.25">
      <c r="A136" s="247" t="s">
        <v>73</v>
      </c>
      <c r="B136" s="65">
        <v>100</v>
      </c>
      <c r="C136" s="248">
        <v>63</v>
      </c>
      <c r="D136" s="249" t="s">
        <v>76</v>
      </c>
      <c r="E136" s="250">
        <v>16</v>
      </c>
      <c r="F136" s="250">
        <v>5</v>
      </c>
      <c r="G136" s="251">
        <v>130.59</v>
      </c>
      <c r="H136" s="252">
        <v>12.21</v>
      </c>
      <c r="I136" s="71">
        <v>6.24</v>
      </c>
      <c r="J136" s="71">
        <v>2</v>
      </c>
      <c r="K136" s="72"/>
      <c r="L136" s="128" t="s">
        <v>50</v>
      </c>
      <c r="M136" s="125">
        <v>1.0149999999999999</v>
      </c>
      <c r="N136" s="123"/>
      <c r="O136" s="123"/>
      <c r="P136" s="75"/>
      <c r="Q136" s="75"/>
      <c r="R136" s="257" t="s">
        <v>128</v>
      </c>
      <c r="S136" s="208" t="s">
        <v>113</v>
      </c>
      <c r="T136" s="85">
        <v>89</v>
      </c>
      <c r="U136" s="86">
        <f>P136-500000</f>
        <v>-500000</v>
      </c>
      <c r="V136" s="30">
        <f t="shared" si="61"/>
        <v>3.6630000000000003</v>
      </c>
      <c r="W136" s="30">
        <f t="shared" si="56"/>
        <v>0</v>
      </c>
      <c r="X136" s="30">
        <f t="shared" si="62"/>
        <v>0</v>
      </c>
      <c r="Y136" s="30">
        <f t="shared" si="57"/>
        <v>140.74900000000002</v>
      </c>
      <c r="Z136" s="30">
        <f t="shared" si="60"/>
        <v>125</v>
      </c>
      <c r="AA136" s="30">
        <f t="shared" si="63"/>
        <v>0.83850000000000047</v>
      </c>
      <c r="AB136" s="30">
        <f t="shared" si="54"/>
        <v>139.91050000000001</v>
      </c>
    </row>
    <row r="137" spans="1:30" ht="15.75" hidden="1" customHeight="1" thickBot="1" x14ac:dyDescent="0.3">
      <c r="A137" s="227" t="s">
        <v>73</v>
      </c>
      <c r="B137" s="65">
        <v>100</v>
      </c>
      <c r="C137" s="228">
        <v>64</v>
      </c>
      <c r="D137" s="80" t="s">
        <v>77</v>
      </c>
      <c r="E137" s="80">
        <v>16</v>
      </c>
      <c r="F137" s="80">
        <v>5</v>
      </c>
      <c r="G137" s="230">
        <v>129.22999999999999</v>
      </c>
      <c r="H137" s="253">
        <v>15.72</v>
      </c>
      <c r="I137" s="71">
        <v>8.68</v>
      </c>
      <c r="J137" s="71">
        <v>1</v>
      </c>
      <c r="K137" s="72"/>
      <c r="L137" s="128" t="s">
        <v>50</v>
      </c>
      <c r="M137" s="125">
        <v>1.0149999999999999</v>
      </c>
      <c r="N137" s="123"/>
      <c r="O137" s="123"/>
      <c r="P137" s="75"/>
      <c r="Q137" s="75"/>
      <c r="R137" s="258" t="s">
        <v>129</v>
      </c>
      <c r="S137" s="207">
        <v>5</v>
      </c>
      <c r="T137" s="85">
        <v>90</v>
      </c>
      <c r="U137" s="86">
        <f>P137-500000</f>
        <v>-500000</v>
      </c>
      <c r="V137" s="30">
        <f t="shared" si="61"/>
        <v>4.7160000000000002</v>
      </c>
      <c r="W137" s="30">
        <f t="shared" ref="W137:W165" si="64">IF(H137&gt;$V$10,(H137-$V$10)*$W$11,0)</f>
        <v>0</v>
      </c>
      <c r="X137" s="30">
        <f t="shared" si="62"/>
        <v>0</v>
      </c>
      <c r="Y137" s="30">
        <f t="shared" ref="Y137:Y165" si="65">W137+V137+G137+I137*$I$11+J137*$J$11</f>
        <v>139.41800000000001</v>
      </c>
      <c r="Z137" s="30">
        <f t="shared" si="60"/>
        <v>125</v>
      </c>
      <c r="AA137" s="30">
        <f t="shared" si="63"/>
        <v>0.6344999999999984</v>
      </c>
      <c r="AB137" s="30">
        <f t="shared" si="54"/>
        <v>138.7835</v>
      </c>
    </row>
    <row r="138" spans="1:30" ht="15" hidden="1" customHeight="1" x14ac:dyDescent="0.25">
      <c r="A138" s="215" t="s">
        <v>73</v>
      </c>
      <c r="B138" s="65">
        <v>100</v>
      </c>
      <c r="C138" s="126">
        <v>65</v>
      </c>
      <c r="D138" s="127" t="s">
        <v>74</v>
      </c>
      <c r="E138" s="111">
        <v>17</v>
      </c>
      <c r="F138" s="111">
        <v>4</v>
      </c>
      <c r="G138" s="112">
        <v>109.45</v>
      </c>
      <c r="H138" s="254">
        <v>13.28</v>
      </c>
      <c r="I138" s="256">
        <v>8.31</v>
      </c>
      <c r="J138" s="71">
        <v>1</v>
      </c>
      <c r="K138" s="72"/>
      <c r="L138" s="128" t="s">
        <v>50</v>
      </c>
      <c r="M138" s="125">
        <v>1.02</v>
      </c>
      <c r="N138" s="123"/>
      <c r="O138" s="123"/>
      <c r="P138" s="75"/>
      <c r="Q138" s="75"/>
      <c r="R138" s="257" t="s">
        <v>126</v>
      </c>
      <c r="S138" s="207">
        <v>128</v>
      </c>
      <c r="T138" s="85">
        <v>18</v>
      </c>
      <c r="V138" s="30">
        <f t="shared" si="61"/>
        <v>3.9839999999999995</v>
      </c>
      <c r="W138" s="30">
        <f t="shared" si="64"/>
        <v>0</v>
      </c>
      <c r="X138" s="30">
        <f t="shared" si="62"/>
        <v>0</v>
      </c>
      <c r="Y138" s="30">
        <f t="shared" si="65"/>
        <v>118.758</v>
      </c>
      <c r="Z138" s="30">
        <f t="shared" ref="Z138:Z169" si="66">VLOOKUP(F138,$AC$3:$AD$11,2,FALSE)</f>
        <v>110</v>
      </c>
      <c r="AA138" s="30">
        <f t="shared" si="63"/>
        <v>0</v>
      </c>
      <c r="AB138" s="30">
        <f t="shared" si="54"/>
        <v>118.758</v>
      </c>
    </row>
    <row r="139" spans="1:30" ht="15" hidden="1" x14ac:dyDescent="0.25">
      <c r="A139" s="216" t="s">
        <v>73</v>
      </c>
      <c r="B139" s="65">
        <v>100</v>
      </c>
      <c r="C139" s="217">
        <v>66</v>
      </c>
      <c r="D139" s="218" t="s">
        <v>75</v>
      </c>
      <c r="E139" s="85">
        <v>17</v>
      </c>
      <c r="F139" s="85">
        <v>3</v>
      </c>
      <c r="G139" s="219">
        <v>80.22</v>
      </c>
      <c r="H139" s="255">
        <v>13.84</v>
      </c>
      <c r="I139" s="85">
        <v>5.59</v>
      </c>
      <c r="J139" s="71">
        <v>1</v>
      </c>
      <c r="K139" s="72"/>
      <c r="L139" s="128" t="s">
        <v>50</v>
      </c>
      <c r="M139" s="125">
        <v>1.02</v>
      </c>
      <c r="N139" s="123"/>
      <c r="O139" s="123"/>
      <c r="P139" s="75"/>
      <c r="Q139" s="75"/>
      <c r="R139" s="257" t="s">
        <v>127</v>
      </c>
      <c r="S139" s="207">
        <v>11</v>
      </c>
      <c r="T139" s="85">
        <v>19</v>
      </c>
      <c r="V139" s="30">
        <f t="shared" si="61"/>
        <v>4.1520000000000001</v>
      </c>
      <c r="W139" s="30">
        <f t="shared" si="64"/>
        <v>0</v>
      </c>
      <c r="X139" s="30">
        <f t="shared" si="62"/>
        <v>0</v>
      </c>
      <c r="Y139" s="30">
        <f t="shared" si="65"/>
        <v>88.608000000000004</v>
      </c>
      <c r="Z139" s="30">
        <f t="shared" si="66"/>
        <v>90</v>
      </c>
      <c r="AA139" s="30">
        <f t="shared" si="63"/>
        <v>0</v>
      </c>
      <c r="AB139" s="30">
        <f t="shared" si="54"/>
        <v>88.608000000000004</v>
      </c>
      <c r="AC139" s="95">
        <f>AB139*$O$9</f>
        <v>1565433.99168</v>
      </c>
      <c r="AD139" s="86">
        <f>AC139-K139</f>
        <v>1565433.99168</v>
      </c>
    </row>
    <row r="140" spans="1:30" ht="15" hidden="1" customHeight="1" x14ac:dyDescent="0.25">
      <c r="A140" s="247" t="s">
        <v>73</v>
      </c>
      <c r="B140" s="65">
        <v>100</v>
      </c>
      <c r="C140" s="248">
        <v>67</v>
      </c>
      <c r="D140" s="249" t="s">
        <v>76</v>
      </c>
      <c r="E140" s="250">
        <v>17</v>
      </c>
      <c r="F140" s="250">
        <v>5</v>
      </c>
      <c r="G140" s="251">
        <v>130.59</v>
      </c>
      <c r="H140" s="252">
        <v>12.21</v>
      </c>
      <c r="I140" s="85">
        <v>6.24</v>
      </c>
      <c r="J140" s="71">
        <v>1</v>
      </c>
      <c r="K140" s="72"/>
      <c r="L140" s="128" t="s">
        <v>50</v>
      </c>
      <c r="M140" s="125">
        <v>1.02</v>
      </c>
      <c r="N140" s="123"/>
      <c r="O140" s="123"/>
      <c r="P140" s="75"/>
      <c r="Q140" s="75"/>
      <c r="R140" s="257" t="s">
        <v>128</v>
      </c>
      <c r="S140" s="208">
        <v>74</v>
      </c>
      <c r="T140" s="85">
        <v>91</v>
      </c>
      <c r="U140" s="86">
        <f>P140-500000</f>
        <v>-500000</v>
      </c>
      <c r="V140" s="30">
        <f t="shared" si="61"/>
        <v>3.6630000000000003</v>
      </c>
      <c r="W140" s="30">
        <f t="shared" si="64"/>
        <v>0</v>
      </c>
      <c r="X140" s="30">
        <f t="shared" si="62"/>
        <v>0</v>
      </c>
      <c r="Y140" s="30">
        <f t="shared" si="65"/>
        <v>138.74900000000002</v>
      </c>
      <c r="Z140" s="30">
        <f t="shared" si="66"/>
        <v>125</v>
      </c>
      <c r="AA140" s="30">
        <f t="shared" si="63"/>
        <v>0.83850000000000047</v>
      </c>
      <c r="AB140" s="30">
        <f t="shared" si="54"/>
        <v>137.91050000000001</v>
      </c>
    </row>
    <row r="141" spans="1:30" ht="15.75" hidden="1" customHeight="1" thickBot="1" x14ac:dyDescent="0.3">
      <c r="A141" s="227" t="s">
        <v>73</v>
      </c>
      <c r="B141" s="65">
        <v>100</v>
      </c>
      <c r="C141" s="228">
        <v>68</v>
      </c>
      <c r="D141" s="80" t="s">
        <v>77</v>
      </c>
      <c r="E141" s="80">
        <v>17</v>
      </c>
      <c r="F141" s="80">
        <v>5</v>
      </c>
      <c r="G141" s="230">
        <v>129.22999999999999</v>
      </c>
      <c r="H141" s="253">
        <v>15.72</v>
      </c>
      <c r="I141" s="85">
        <v>8.68</v>
      </c>
      <c r="J141" s="71">
        <v>2</v>
      </c>
      <c r="K141" s="72"/>
      <c r="L141" s="128" t="s">
        <v>50</v>
      </c>
      <c r="M141" s="125">
        <v>1.02</v>
      </c>
      <c r="N141" s="123"/>
      <c r="O141" s="123"/>
      <c r="P141" s="75"/>
      <c r="Q141" s="75"/>
      <c r="R141" s="258" t="s">
        <v>129</v>
      </c>
      <c r="S141" s="207" t="s">
        <v>114</v>
      </c>
      <c r="T141" s="85">
        <v>92</v>
      </c>
      <c r="U141" s="86">
        <f>P141-500000</f>
        <v>-500000</v>
      </c>
      <c r="V141" s="30">
        <f t="shared" ref="V141:V169" si="67">IF(H141&gt;$V$10,$V$10*$V$11,H141*$V$11)</f>
        <v>4.7160000000000002</v>
      </c>
      <c r="W141" s="30">
        <f t="shared" si="64"/>
        <v>0</v>
      </c>
      <c r="X141" s="30">
        <f t="shared" ref="X141:X169" si="68">IF(AND(H141&gt;$X$10,H141&lt;$X$8),(H141-$X$10)*$X$11,IF(H141&gt;$X$8,($X$8-$X$10)*$X$11,0))</f>
        <v>0</v>
      </c>
      <c r="Y141" s="30">
        <f t="shared" si="65"/>
        <v>141.41800000000001</v>
      </c>
      <c r="Z141" s="30">
        <f t="shared" si="66"/>
        <v>125</v>
      </c>
      <c r="AA141" s="30">
        <f t="shared" si="63"/>
        <v>0.6344999999999984</v>
      </c>
      <c r="AB141" s="30">
        <f t="shared" si="54"/>
        <v>140.7835</v>
      </c>
    </row>
    <row r="142" spans="1:30" ht="15" hidden="1" customHeight="1" x14ac:dyDescent="0.25">
      <c r="A142" s="215" t="s">
        <v>73</v>
      </c>
      <c r="B142" s="65">
        <v>100</v>
      </c>
      <c r="C142" s="126">
        <v>69</v>
      </c>
      <c r="D142" s="127" t="s">
        <v>74</v>
      </c>
      <c r="E142" s="111">
        <v>18</v>
      </c>
      <c r="F142" s="111">
        <v>4</v>
      </c>
      <c r="G142" s="112">
        <v>109.45</v>
      </c>
      <c r="H142" s="254">
        <v>13.28</v>
      </c>
      <c r="I142" s="85">
        <v>4.6900000000000004</v>
      </c>
      <c r="J142" s="71">
        <v>1</v>
      </c>
      <c r="K142" s="72"/>
      <c r="L142" s="128" t="s">
        <v>50</v>
      </c>
      <c r="M142" s="125">
        <v>1.0249999999999999</v>
      </c>
      <c r="N142" s="123"/>
      <c r="O142" s="123"/>
      <c r="P142" s="75"/>
      <c r="Q142" s="75"/>
      <c r="R142" s="257" t="s">
        <v>126</v>
      </c>
      <c r="S142" s="207">
        <v>127</v>
      </c>
      <c r="T142" s="85">
        <v>20</v>
      </c>
      <c r="V142" s="30">
        <f t="shared" si="67"/>
        <v>3.9839999999999995</v>
      </c>
      <c r="W142" s="30">
        <f t="shared" si="64"/>
        <v>0</v>
      </c>
      <c r="X142" s="30">
        <f t="shared" si="68"/>
        <v>0</v>
      </c>
      <c r="Y142" s="30">
        <f t="shared" si="65"/>
        <v>117.31</v>
      </c>
      <c r="Z142" s="30">
        <f t="shared" si="66"/>
        <v>110</v>
      </c>
      <c r="AA142" s="30">
        <f t="shared" si="63"/>
        <v>0</v>
      </c>
      <c r="AB142" s="30">
        <f t="shared" si="54"/>
        <v>117.31</v>
      </c>
    </row>
    <row r="143" spans="1:30" ht="15" hidden="1" x14ac:dyDescent="0.25">
      <c r="A143" s="216" t="s">
        <v>73</v>
      </c>
      <c r="B143" s="65">
        <v>100</v>
      </c>
      <c r="C143" s="217">
        <v>70</v>
      </c>
      <c r="D143" s="218" t="s">
        <v>75</v>
      </c>
      <c r="E143" s="85">
        <v>18</v>
      </c>
      <c r="F143" s="85">
        <v>3</v>
      </c>
      <c r="G143" s="219">
        <v>80.22</v>
      </c>
      <c r="H143" s="255">
        <v>13.84</v>
      </c>
      <c r="I143" s="85">
        <v>4.62</v>
      </c>
      <c r="J143" s="71">
        <v>1</v>
      </c>
      <c r="K143" s="72"/>
      <c r="L143" s="128" t="s">
        <v>50</v>
      </c>
      <c r="M143" s="125">
        <v>1.0249999999999999</v>
      </c>
      <c r="N143" s="123"/>
      <c r="O143" s="123"/>
      <c r="P143" s="75"/>
      <c r="Q143" s="75"/>
      <c r="R143" s="257" t="s">
        <v>127</v>
      </c>
      <c r="S143" s="207">
        <v>10</v>
      </c>
      <c r="T143" s="85">
        <v>21</v>
      </c>
      <c r="V143" s="30">
        <f t="shared" si="67"/>
        <v>4.1520000000000001</v>
      </c>
      <c r="W143" s="30">
        <f t="shared" si="64"/>
        <v>0</v>
      </c>
      <c r="X143" s="30">
        <f t="shared" si="68"/>
        <v>0</v>
      </c>
      <c r="Y143" s="30">
        <f t="shared" si="65"/>
        <v>88.22</v>
      </c>
      <c r="Z143" s="30">
        <f t="shared" si="66"/>
        <v>90</v>
      </c>
      <c r="AA143" s="30">
        <f t="shared" si="63"/>
        <v>0</v>
      </c>
      <c r="AB143" s="30">
        <f t="shared" ref="AB143:AB169" si="69">Y143-AA143</f>
        <v>88.22</v>
      </c>
      <c r="AC143" s="95">
        <f>AB143*$O$9</f>
        <v>1558579.2111999998</v>
      </c>
      <c r="AD143" s="86">
        <f>AC143-K143</f>
        <v>1558579.2111999998</v>
      </c>
    </row>
    <row r="144" spans="1:30" ht="15" hidden="1" customHeight="1" x14ac:dyDescent="0.25">
      <c r="A144" s="247" t="s">
        <v>73</v>
      </c>
      <c r="B144" s="65">
        <v>100</v>
      </c>
      <c r="C144" s="248">
        <v>71</v>
      </c>
      <c r="D144" s="249" t="s">
        <v>76</v>
      </c>
      <c r="E144" s="250">
        <v>18</v>
      </c>
      <c r="F144" s="250">
        <v>5</v>
      </c>
      <c r="G144" s="251">
        <v>130.59</v>
      </c>
      <c r="H144" s="252">
        <v>12.21</v>
      </c>
      <c r="I144" s="85">
        <v>6.24</v>
      </c>
      <c r="J144" s="71">
        <v>2</v>
      </c>
      <c r="K144" s="72"/>
      <c r="L144" s="128" t="s">
        <v>50</v>
      </c>
      <c r="M144" s="125">
        <v>1.0249999999999999</v>
      </c>
      <c r="N144" s="123"/>
      <c r="O144" s="123"/>
      <c r="P144" s="75"/>
      <c r="Q144" s="75"/>
      <c r="R144" s="257" t="s">
        <v>128</v>
      </c>
      <c r="S144" s="208">
        <v>132133</v>
      </c>
      <c r="T144" s="85">
        <v>93</v>
      </c>
      <c r="U144" s="86">
        <f>P144-500000</f>
        <v>-500000</v>
      </c>
      <c r="V144" s="30">
        <f t="shared" si="67"/>
        <v>3.6630000000000003</v>
      </c>
      <c r="W144" s="30">
        <f t="shared" si="64"/>
        <v>0</v>
      </c>
      <c r="X144" s="30">
        <f t="shared" si="68"/>
        <v>0</v>
      </c>
      <c r="Y144" s="30">
        <f t="shared" si="65"/>
        <v>140.74900000000002</v>
      </c>
      <c r="Z144" s="30">
        <f t="shared" si="66"/>
        <v>125</v>
      </c>
      <c r="AA144" s="30">
        <f t="shared" si="63"/>
        <v>0.83850000000000047</v>
      </c>
      <c r="AB144" s="30">
        <f t="shared" si="69"/>
        <v>139.91050000000001</v>
      </c>
    </row>
    <row r="145" spans="1:28" ht="15.75" hidden="1" customHeight="1" thickBot="1" x14ac:dyDescent="0.3">
      <c r="A145" s="227" t="s">
        <v>73</v>
      </c>
      <c r="B145" s="65">
        <v>100</v>
      </c>
      <c r="C145" s="228">
        <v>72</v>
      </c>
      <c r="D145" s="80" t="s">
        <v>77</v>
      </c>
      <c r="E145" s="80">
        <v>18</v>
      </c>
      <c r="F145" s="80">
        <v>5</v>
      </c>
      <c r="G145" s="230">
        <v>129.22999999999999</v>
      </c>
      <c r="H145" s="253">
        <v>15.72</v>
      </c>
      <c r="I145" s="85">
        <v>8.68</v>
      </c>
      <c r="J145" s="71">
        <v>2</v>
      </c>
      <c r="K145" s="72"/>
      <c r="L145" s="128" t="s">
        <v>50</v>
      </c>
      <c r="M145" s="125">
        <v>1.0249999999999999</v>
      </c>
      <c r="N145" s="123"/>
      <c r="O145" s="123"/>
      <c r="P145" s="75"/>
      <c r="Q145" s="75"/>
      <c r="R145" s="258" t="s">
        <v>129</v>
      </c>
      <c r="S145" s="207" t="s">
        <v>115</v>
      </c>
      <c r="T145" s="85">
        <v>94</v>
      </c>
      <c r="U145" s="86">
        <f>P145-500000</f>
        <v>-500000</v>
      </c>
      <c r="V145" s="30">
        <f t="shared" si="67"/>
        <v>4.7160000000000002</v>
      </c>
      <c r="W145" s="30">
        <f t="shared" si="64"/>
        <v>0</v>
      </c>
      <c r="X145" s="30">
        <f t="shared" si="68"/>
        <v>0</v>
      </c>
      <c r="Y145" s="30">
        <f t="shared" si="65"/>
        <v>141.41800000000001</v>
      </c>
      <c r="Z145" s="30">
        <f t="shared" si="66"/>
        <v>125</v>
      </c>
      <c r="AA145" s="30">
        <f t="shared" si="63"/>
        <v>0.6344999999999984</v>
      </c>
      <c r="AB145" s="30">
        <f t="shared" si="69"/>
        <v>140.7835</v>
      </c>
    </row>
    <row r="146" spans="1:28" ht="15" hidden="1" customHeight="1" x14ac:dyDescent="0.25">
      <c r="A146" s="215" t="s">
        <v>73</v>
      </c>
      <c r="B146" s="65">
        <v>100</v>
      </c>
      <c r="C146" s="126">
        <v>73</v>
      </c>
      <c r="D146" s="127" t="s">
        <v>74</v>
      </c>
      <c r="E146" s="111">
        <v>19</v>
      </c>
      <c r="F146" s="111">
        <v>4</v>
      </c>
      <c r="G146" s="112">
        <v>109.45</v>
      </c>
      <c r="H146" s="254">
        <v>13.28</v>
      </c>
      <c r="I146" s="85">
        <v>6.35</v>
      </c>
      <c r="J146" s="71">
        <v>1</v>
      </c>
      <c r="K146" s="72"/>
      <c r="L146" s="128" t="s">
        <v>50</v>
      </c>
      <c r="M146" s="125">
        <v>1.03</v>
      </c>
      <c r="N146" s="123"/>
      <c r="O146" s="123"/>
      <c r="P146" s="75"/>
      <c r="Q146" s="75"/>
      <c r="R146" s="257" t="s">
        <v>126</v>
      </c>
      <c r="S146" s="207">
        <v>112</v>
      </c>
      <c r="T146" s="85">
        <v>22</v>
      </c>
      <c r="V146" s="30">
        <f t="shared" si="67"/>
        <v>3.9839999999999995</v>
      </c>
      <c r="W146" s="30">
        <f t="shared" si="64"/>
        <v>0</v>
      </c>
      <c r="X146" s="30">
        <f t="shared" si="68"/>
        <v>0</v>
      </c>
      <c r="Y146" s="30">
        <f t="shared" si="65"/>
        <v>117.974</v>
      </c>
      <c r="Z146" s="30">
        <f t="shared" si="66"/>
        <v>110</v>
      </c>
      <c r="AA146" s="30">
        <f t="shared" si="63"/>
        <v>0</v>
      </c>
      <c r="AB146" s="30">
        <f t="shared" si="69"/>
        <v>117.974</v>
      </c>
    </row>
    <row r="147" spans="1:28" ht="15" hidden="1" customHeight="1" x14ac:dyDescent="0.25">
      <c r="A147" s="216" t="s">
        <v>73</v>
      </c>
      <c r="B147" s="65">
        <v>100</v>
      </c>
      <c r="C147" s="217">
        <v>74</v>
      </c>
      <c r="D147" s="218" t="s">
        <v>75</v>
      </c>
      <c r="E147" s="85">
        <v>19</v>
      </c>
      <c r="F147" s="85">
        <v>3</v>
      </c>
      <c r="G147" s="219">
        <v>80.22</v>
      </c>
      <c r="H147" s="255">
        <v>13.84</v>
      </c>
      <c r="I147" s="85">
        <v>7.11</v>
      </c>
      <c r="J147" s="71">
        <v>1</v>
      </c>
      <c r="K147" s="72"/>
      <c r="L147" s="128" t="s">
        <v>50</v>
      </c>
      <c r="M147" s="125">
        <v>1.03</v>
      </c>
      <c r="N147" s="123"/>
      <c r="O147" s="123"/>
      <c r="P147" s="75"/>
      <c r="Q147" s="75"/>
      <c r="R147" s="257" t="s">
        <v>127</v>
      </c>
      <c r="S147" s="207">
        <v>9</v>
      </c>
      <c r="T147" s="85">
        <v>23</v>
      </c>
      <c r="V147" s="30">
        <f t="shared" si="67"/>
        <v>4.1520000000000001</v>
      </c>
      <c r="W147" s="30">
        <f t="shared" si="64"/>
        <v>0</v>
      </c>
      <c r="X147" s="30">
        <f t="shared" si="68"/>
        <v>0</v>
      </c>
      <c r="Y147" s="30">
        <f t="shared" si="65"/>
        <v>89.215999999999994</v>
      </c>
      <c r="Z147" s="30">
        <f t="shared" si="66"/>
        <v>90</v>
      </c>
      <c r="AA147" s="30">
        <f t="shared" si="63"/>
        <v>0</v>
      </c>
      <c r="AB147" s="30">
        <f t="shared" si="69"/>
        <v>89.215999999999994</v>
      </c>
    </row>
    <row r="148" spans="1:28" ht="15" hidden="1" customHeight="1" x14ac:dyDescent="0.25">
      <c r="A148" s="247" t="s">
        <v>73</v>
      </c>
      <c r="B148" s="65">
        <v>100</v>
      </c>
      <c r="C148" s="248">
        <v>75</v>
      </c>
      <c r="D148" s="249" t="s">
        <v>76</v>
      </c>
      <c r="E148" s="250">
        <v>19</v>
      </c>
      <c r="F148" s="250">
        <v>5</v>
      </c>
      <c r="G148" s="251">
        <v>130.59</v>
      </c>
      <c r="H148" s="252">
        <v>12.21</v>
      </c>
      <c r="I148" s="85">
        <v>6.24</v>
      </c>
      <c r="J148" s="71">
        <v>2</v>
      </c>
      <c r="K148" s="72"/>
      <c r="L148" s="128" t="s">
        <v>50</v>
      </c>
      <c r="M148" s="125">
        <v>1.03</v>
      </c>
      <c r="N148" s="123"/>
      <c r="O148" s="123"/>
      <c r="P148" s="75"/>
      <c r="Q148" s="75"/>
      <c r="R148" s="257" t="s">
        <v>128</v>
      </c>
      <c r="S148" s="208">
        <v>130131</v>
      </c>
      <c r="T148" s="85">
        <v>95</v>
      </c>
      <c r="U148" s="86">
        <f>P148-500000</f>
        <v>-500000</v>
      </c>
      <c r="V148" s="30">
        <f t="shared" si="67"/>
        <v>3.6630000000000003</v>
      </c>
      <c r="W148" s="30">
        <f t="shared" si="64"/>
        <v>0</v>
      </c>
      <c r="X148" s="30">
        <f t="shared" si="68"/>
        <v>0</v>
      </c>
      <c r="Y148" s="30">
        <f t="shared" si="65"/>
        <v>140.74900000000002</v>
      </c>
      <c r="Z148" s="30">
        <f t="shared" si="66"/>
        <v>125</v>
      </c>
      <c r="AA148" s="30">
        <f t="shared" si="63"/>
        <v>0.83850000000000047</v>
      </c>
      <c r="AB148" s="30">
        <f t="shared" si="69"/>
        <v>139.91050000000001</v>
      </c>
    </row>
    <row r="149" spans="1:28" ht="15.75" hidden="1" customHeight="1" thickBot="1" x14ac:dyDescent="0.3">
      <c r="A149" s="227" t="s">
        <v>73</v>
      </c>
      <c r="B149" s="65">
        <v>100</v>
      </c>
      <c r="C149" s="228">
        <v>76</v>
      </c>
      <c r="D149" s="80" t="s">
        <v>77</v>
      </c>
      <c r="E149" s="80">
        <v>19</v>
      </c>
      <c r="F149" s="80">
        <v>5</v>
      </c>
      <c r="G149" s="230">
        <v>129.28</v>
      </c>
      <c r="H149" s="253">
        <v>15.72</v>
      </c>
      <c r="I149" s="85">
        <v>8.68</v>
      </c>
      <c r="J149" s="71">
        <v>2</v>
      </c>
      <c r="K149" s="72"/>
      <c r="L149" s="128" t="s">
        <v>50</v>
      </c>
      <c r="M149" s="125">
        <v>1.03</v>
      </c>
      <c r="N149" s="123"/>
      <c r="O149" s="123"/>
      <c r="P149" s="75"/>
      <c r="Q149" s="75"/>
      <c r="R149" s="258" t="s">
        <v>129</v>
      </c>
      <c r="S149" s="208">
        <v>136137</v>
      </c>
      <c r="T149" s="85">
        <v>96</v>
      </c>
      <c r="U149" s="86">
        <f>P149-500000</f>
        <v>-500000</v>
      </c>
      <c r="V149" s="30">
        <f t="shared" si="67"/>
        <v>4.7160000000000002</v>
      </c>
      <c r="W149" s="30">
        <f t="shared" si="64"/>
        <v>0</v>
      </c>
      <c r="X149" s="30">
        <f t="shared" si="68"/>
        <v>0</v>
      </c>
      <c r="Y149" s="30">
        <f t="shared" si="65"/>
        <v>141.46800000000002</v>
      </c>
      <c r="Z149" s="30">
        <f t="shared" si="66"/>
        <v>125</v>
      </c>
      <c r="AA149" s="30">
        <f t="shared" si="63"/>
        <v>0.64200000000000013</v>
      </c>
      <c r="AB149" s="30">
        <f t="shared" si="69"/>
        <v>140.82600000000002</v>
      </c>
    </row>
    <row r="150" spans="1:28" ht="15" hidden="1" customHeight="1" x14ac:dyDescent="0.25">
      <c r="A150" s="215" t="s">
        <v>73</v>
      </c>
      <c r="B150" s="65">
        <v>100</v>
      </c>
      <c r="C150" s="126">
        <v>77</v>
      </c>
      <c r="D150" s="127" t="s">
        <v>74</v>
      </c>
      <c r="E150" s="111">
        <v>20</v>
      </c>
      <c r="F150" s="111">
        <v>4</v>
      </c>
      <c r="G150" s="112">
        <v>109.45</v>
      </c>
      <c r="H150" s="254">
        <v>13.28</v>
      </c>
      <c r="I150" s="85">
        <v>7.58</v>
      </c>
      <c r="J150" s="71">
        <v>1</v>
      </c>
      <c r="K150" s="72"/>
      <c r="L150" s="128" t="s">
        <v>50</v>
      </c>
      <c r="M150" s="125">
        <v>1.0349999999999999</v>
      </c>
      <c r="N150" s="123"/>
      <c r="O150" s="123"/>
      <c r="P150" s="75"/>
      <c r="Q150" s="75"/>
      <c r="R150" s="257" t="s">
        <v>126</v>
      </c>
      <c r="S150" s="207">
        <v>113</v>
      </c>
      <c r="T150" s="85">
        <v>24</v>
      </c>
      <c r="V150" s="30">
        <f t="shared" si="67"/>
        <v>3.9839999999999995</v>
      </c>
      <c r="W150" s="30">
        <f t="shared" si="64"/>
        <v>0</v>
      </c>
      <c r="X150" s="30">
        <f t="shared" si="68"/>
        <v>0</v>
      </c>
      <c r="Y150" s="30">
        <f t="shared" si="65"/>
        <v>118.46599999999999</v>
      </c>
      <c r="Z150" s="30">
        <f t="shared" si="66"/>
        <v>110</v>
      </c>
      <c r="AA150" s="30">
        <f t="shared" si="63"/>
        <v>0</v>
      </c>
      <c r="AB150" s="30">
        <f t="shared" si="69"/>
        <v>118.46599999999999</v>
      </c>
    </row>
    <row r="151" spans="1:28" ht="15" hidden="1" customHeight="1" x14ac:dyDescent="0.25">
      <c r="A151" s="216" t="s">
        <v>73</v>
      </c>
      <c r="B151" s="65">
        <v>100</v>
      </c>
      <c r="C151" s="217">
        <v>78</v>
      </c>
      <c r="D151" s="218" t="s">
        <v>75</v>
      </c>
      <c r="E151" s="85">
        <v>20</v>
      </c>
      <c r="F151" s="85">
        <v>3</v>
      </c>
      <c r="G151" s="219">
        <v>80.22</v>
      </c>
      <c r="H151" s="255">
        <v>13.84</v>
      </c>
      <c r="I151" s="85">
        <v>6.6</v>
      </c>
      <c r="J151" s="71">
        <v>1</v>
      </c>
      <c r="K151" s="72"/>
      <c r="L151" s="128" t="s">
        <v>50</v>
      </c>
      <c r="M151" s="125">
        <v>1.0349999999999999</v>
      </c>
      <c r="N151" s="123"/>
      <c r="O151" s="123"/>
      <c r="P151" s="75"/>
      <c r="Q151" s="75"/>
      <c r="R151" s="257" t="s">
        <v>127</v>
      </c>
      <c r="S151" s="207">
        <v>8</v>
      </c>
      <c r="T151" s="85">
        <v>25</v>
      </c>
      <c r="V151" s="30">
        <f t="shared" si="67"/>
        <v>4.1520000000000001</v>
      </c>
      <c r="W151" s="30">
        <f t="shared" si="64"/>
        <v>0</v>
      </c>
      <c r="X151" s="30">
        <f t="shared" si="68"/>
        <v>0</v>
      </c>
      <c r="Y151" s="30">
        <f t="shared" si="65"/>
        <v>89.012</v>
      </c>
      <c r="Z151" s="30">
        <f t="shared" si="66"/>
        <v>90</v>
      </c>
      <c r="AA151" s="30">
        <f t="shared" si="63"/>
        <v>0</v>
      </c>
      <c r="AB151" s="30">
        <f t="shared" si="69"/>
        <v>89.012</v>
      </c>
    </row>
    <row r="152" spans="1:28" ht="15" hidden="1" customHeight="1" x14ac:dyDescent="0.25">
      <c r="A152" s="247" t="s">
        <v>73</v>
      </c>
      <c r="B152" s="65">
        <v>100</v>
      </c>
      <c r="C152" s="248">
        <v>79</v>
      </c>
      <c r="D152" s="249" t="s">
        <v>76</v>
      </c>
      <c r="E152" s="250">
        <v>20</v>
      </c>
      <c r="F152" s="250">
        <v>5</v>
      </c>
      <c r="G152" s="251">
        <v>130.59</v>
      </c>
      <c r="H152" s="252">
        <v>12.21</v>
      </c>
      <c r="I152" s="85">
        <v>6.24</v>
      </c>
      <c r="J152" s="71">
        <v>2</v>
      </c>
      <c r="K152" s="72"/>
      <c r="L152" s="128" t="s">
        <v>50</v>
      </c>
      <c r="M152" s="125">
        <v>1.0349999999999999</v>
      </c>
      <c r="N152" s="123"/>
      <c r="O152" s="123"/>
      <c r="P152" s="75"/>
      <c r="Q152" s="75"/>
      <c r="R152" s="257" t="s">
        <v>128</v>
      </c>
      <c r="S152" s="208">
        <v>138139</v>
      </c>
      <c r="T152" s="85">
        <v>97</v>
      </c>
      <c r="U152" s="86">
        <f>P152-500000</f>
        <v>-500000</v>
      </c>
      <c r="V152" s="30">
        <f t="shared" si="67"/>
        <v>3.6630000000000003</v>
      </c>
      <c r="W152" s="30">
        <f t="shared" si="64"/>
        <v>0</v>
      </c>
      <c r="X152" s="30">
        <f t="shared" si="68"/>
        <v>0</v>
      </c>
      <c r="Y152" s="30">
        <f t="shared" si="65"/>
        <v>140.74900000000002</v>
      </c>
      <c r="Z152" s="30">
        <f t="shared" si="66"/>
        <v>125</v>
      </c>
      <c r="AA152" s="30">
        <f t="shared" si="63"/>
        <v>0.83850000000000047</v>
      </c>
      <c r="AB152" s="30">
        <f t="shared" si="69"/>
        <v>139.91050000000001</v>
      </c>
    </row>
    <row r="153" spans="1:28" ht="15.75" hidden="1" customHeight="1" thickBot="1" x14ac:dyDescent="0.3">
      <c r="A153" s="227" t="s">
        <v>73</v>
      </c>
      <c r="B153" s="65">
        <v>100</v>
      </c>
      <c r="C153" s="228">
        <v>80</v>
      </c>
      <c r="D153" s="80" t="s">
        <v>77</v>
      </c>
      <c r="E153" s="80">
        <v>20</v>
      </c>
      <c r="F153" s="80">
        <v>5</v>
      </c>
      <c r="G153" s="230">
        <v>129.22999999999999</v>
      </c>
      <c r="H153" s="253">
        <v>15.72</v>
      </c>
      <c r="I153" s="85">
        <v>8.68</v>
      </c>
      <c r="J153" s="71">
        <v>1</v>
      </c>
      <c r="K153" s="72"/>
      <c r="L153" s="128" t="s">
        <v>50</v>
      </c>
      <c r="M153" s="125">
        <v>1.0349999999999999</v>
      </c>
      <c r="N153" s="123"/>
      <c r="O153" s="123"/>
      <c r="P153" s="75"/>
      <c r="Q153" s="75"/>
      <c r="R153" s="258" t="s">
        <v>129</v>
      </c>
      <c r="S153" s="207">
        <v>2</v>
      </c>
      <c r="T153" s="85">
        <v>98</v>
      </c>
      <c r="U153" s="86">
        <f>P153-500000</f>
        <v>-500000</v>
      </c>
      <c r="V153" s="30">
        <f t="shared" si="67"/>
        <v>4.7160000000000002</v>
      </c>
      <c r="W153" s="30">
        <f t="shared" si="64"/>
        <v>0</v>
      </c>
      <c r="X153" s="30">
        <f t="shared" si="68"/>
        <v>0</v>
      </c>
      <c r="Y153" s="30">
        <f t="shared" si="65"/>
        <v>139.41800000000001</v>
      </c>
      <c r="Z153" s="30">
        <f t="shared" si="66"/>
        <v>125</v>
      </c>
      <c r="AA153" s="30">
        <f t="shared" si="63"/>
        <v>0.6344999999999984</v>
      </c>
      <c r="AB153" s="30">
        <f t="shared" si="69"/>
        <v>138.7835</v>
      </c>
    </row>
    <row r="154" spans="1:28" ht="15" hidden="1" customHeight="1" x14ac:dyDescent="0.25">
      <c r="A154" s="215" t="s">
        <v>73</v>
      </c>
      <c r="B154" s="65">
        <v>100</v>
      </c>
      <c r="C154" s="126">
        <v>81</v>
      </c>
      <c r="D154" s="127" t="s">
        <v>74</v>
      </c>
      <c r="E154" s="111">
        <v>21</v>
      </c>
      <c r="F154" s="111">
        <v>4</v>
      </c>
      <c r="G154" s="112">
        <v>109.45</v>
      </c>
      <c r="H154" s="254">
        <v>13.28</v>
      </c>
      <c r="I154" s="85">
        <v>6.83</v>
      </c>
      <c r="J154" s="71">
        <v>1</v>
      </c>
      <c r="K154" s="72"/>
      <c r="L154" s="128" t="s">
        <v>50</v>
      </c>
      <c r="M154" s="125">
        <v>1.04</v>
      </c>
      <c r="N154" s="123"/>
      <c r="O154" s="123"/>
      <c r="P154" s="75"/>
      <c r="Q154" s="75"/>
      <c r="R154" s="257" t="s">
        <v>126</v>
      </c>
      <c r="S154" s="207">
        <v>97</v>
      </c>
      <c r="T154" s="85">
        <v>26</v>
      </c>
      <c r="V154" s="30">
        <f t="shared" si="67"/>
        <v>3.9839999999999995</v>
      </c>
      <c r="W154" s="30">
        <f t="shared" si="64"/>
        <v>0</v>
      </c>
      <c r="X154" s="30">
        <f t="shared" si="68"/>
        <v>0</v>
      </c>
      <c r="Y154" s="30">
        <f t="shared" si="65"/>
        <v>118.166</v>
      </c>
      <c r="Z154" s="30">
        <f t="shared" si="66"/>
        <v>110</v>
      </c>
      <c r="AA154" s="30">
        <f t="shared" si="63"/>
        <v>0</v>
      </c>
      <c r="AB154" s="30">
        <f t="shared" si="69"/>
        <v>118.166</v>
      </c>
    </row>
    <row r="155" spans="1:28" ht="15" hidden="1" customHeight="1" x14ac:dyDescent="0.25">
      <c r="A155" s="216" t="s">
        <v>73</v>
      </c>
      <c r="B155" s="65">
        <v>100</v>
      </c>
      <c r="C155" s="217">
        <v>82</v>
      </c>
      <c r="D155" s="218" t="s">
        <v>75</v>
      </c>
      <c r="E155" s="85">
        <v>21</v>
      </c>
      <c r="F155" s="85">
        <v>3</v>
      </c>
      <c r="G155" s="219">
        <v>80.22</v>
      </c>
      <c r="H155" s="255">
        <v>13.84</v>
      </c>
      <c r="I155" s="85">
        <v>7.59</v>
      </c>
      <c r="J155" s="71">
        <v>1</v>
      </c>
      <c r="K155" s="72"/>
      <c r="L155" s="128" t="s">
        <v>50</v>
      </c>
      <c r="M155" s="125">
        <v>1.04</v>
      </c>
      <c r="N155" s="123"/>
      <c r="O155" s="123"/>
      <c r="P155" s="75"/>
      <c r="Q155" s="75"/>
      <c r="R155" s="257" t="s">
        <v>127</v>
      </c>
      <c r="S155" s="207">
        <v>43</v>
      </c>
      <c r="T155" s="85">
        <v>27</v>
      </c>
      <c r="V155" s="30">
        <f t="shared" si="67"/>
        <v>4.1520000000000001</v>
      </c>
      <c r="W155" s="30">
        <f t="shared" si="64"/>
        <v>0</v>
      </c>
      <c r="X155" s="30">
        <f t="shared" si="68"/>
        <v>0</v>
      </c>
      <c r="Y155" s="30">
        <f t="shared" si="65"/>
        <v>89.408000000000001</v>
      </c>
      <c r="Z155" s="30">
        <f t="shared" si="66"/>
        <v>90</v>
      </c>
      <c r="AA155" s="30">
        <f t="shared" si="63"/>
        <v>0</v>
      </c>
      <c r="AB155" s="30">
        <f t="shared" si="69"/>
        <v>89.408000000000001</v>
      </c>
    </row>
    <row r="156" spans="1:28" ht="15" hidden="1" customHeight="1" x14ac:dyDescent="0.25">
      <c r="A156" s="247" t="s">
        <v>73</v>
      </c>
      <c r="B156" s="65">
        <v>100</v>
      </c>
      <c r="C156" s="248">
        <v>83</v>
      </c>
      <c r="D156" s="249" t="s">
        <v>76</v>
      </c>
      <c r="E156" s="250">
        <v>21</v>
      </c>
      <c r="F156" s="250">
        <v>5</v>
      </c>
      <c r="G156" s="251">
        <v>130.59</v>
      </c>
      <c r="H156" s="252">
        <v>12.21</v>
      </c>
      <c r="I156" s="85">
        <v>6.24</v>
      </c>
      <c r="J156" s="71">
        <v>2</v>
      </c>
      <c r="K156" s="72"/>
      <c r="L156" s="128" t="s">
        <v>50</v>
      </c>
      <c r="M156" s="125">
        <v>1.04</v>
      </c>
      <c r="N156" s="123"/>
      <c r="O156" s="123"/>
      <c r="P156" s="75"/>
      <c r="Q156" s="75"/>
      <c r="R156" s="257" t="s">
        <v>128</v>
      </c>
      <c r="S156" s="208" t="s">
        <v>122</v>
      </c>
      <c r="T156" s="85">
        <v>99</v>
      </c>
      <c r="U156" s="86">
        <f>P156-500000</f>
        <v>-500000</v>
      </c>
      <c r="V156" s="30">
        <f t="shared" si="67"/>
        <v>3.6630000000000003</v>
      </c>
      <c r="W156" s="30">
        <f t="shared" si="64"/>
        <v>0</v>
      </c>
      <c r="X156" s="30">
        <f t="shared" si="68"/>
        <v>0</v>
      </c>
      <c r="Y156" s="30">
        <f t="shared" si="65"/>
        <v>140.74900000000002</v>
      </c>
      <c r="Z156" s="30">
        <f t="shared" si="66"/>
        <v>125</v>
      </c>
      <c r="AA156" s="30">
        <f t="shared" si="63"/>
        <v>0.83850000000000047</v>
      </c>
      <c r="AB156" s="30">
        <f t="shared" si="69"/>
        <v>139.91050000000001</v>
      </c>
    </row>
    <row r="157" spans="1:28" ht="15.75" hidden="1" customHeight="1" thickBot="1" x14ac:dyDescent="0.3">
      <c r="A157" s="227" t="s">
        <v>73</v>
      </c>
      <c r="B157" s="65">
        <v>100</v>
      </c>
      <c r="C157" s="228">
        <v>84</v>
      </c>
      <c r="D157" s="80" t="s">
        <v>77</v>
      </c>
      <c r="E157" s="80">
        <v>21</v>
      </c>
      <c r="F157" s="80">
        <v>5</v>
      </c>
      <c r="G157" s="230">
        <v>129.22999999999999</v>
      </c>
      <c r="H157" s="253">
        <v>15.72</v>
      </c>
      <c r="I157" s="85">
        <v>8.68</v>
      </c>
      <c r="J157" s="71">
        <v>2</v>
      </c>
      <c r="K157" s="72"/>
      <c r="L157" s="128" t="s">
        <v>50</v>
      </c>
      <c r="M157" s="125">
        <v>1.04</v>
      </c>
      <c r="N157" s="123"/>
      <c r="O157" s="123"/>
      <c r="P157" s="75"/>
      <c r="Q157" s="75"/>
      <c r="R157" s="258" t="s">
        <v>129</v>
      </c>
      <c r="S157" s="208" t="s">
        <v>121</v>
      </c>
      <c r="T157" s="85">
        <v>100</v>
      </c>
      <c r="U157" s="86">
        <f>P157-500000</f>
        <v>-500000</v>
      </c>
      <c r="V157" s="30">
        <f t="shared" si="67"/>
        <v>4.7160000000000002</v>
      </c>
      <c r="W157" s="30">
        <f t="shared" si="64"/>
        <v>0</v>
      </c>
      <c r="X157" s="30">
        <f t="shared" si="68"/>
        <v>0</v>
      </c>
      <c r="Y157" s="30">
        <f t="shared" si="65"/>
        <v>141.41800000000001</v>
      </c>
      <c r="Z157" s="30">
        <f t="shared" si="66"/>
        <v>125</v>
      </c>
      <c r="AA157" s="30">
        <f t="shared" ref="AA157:AA169" si="70">IF(G157&gt;Z157,(G157-Z157)*0.15,0)</f>
        <v>0.6344999999999984</v>
      </c>
      <c r="AB157" s="30">
        <f t="shared" si="69"/>
        <v>140.7835</v>
      </c>
    </row>
    <row r="158" spans="1:28" ht="15" hidden="1" customHeight="1" x14ac:dyDescent="0.25">
      <c r="A158" s="215" t="s">
        <v>73</v>
      </c>
      <c r="B158" s="65">
        <v>100</v>
      </c>
      <c r="C158" s="126">
        <v>85</v>
      </c>
      <c r="D158" s="127" t="s">
        <v>74</v>
      </c>
      <c r="E158" s="111">
        <v>22</v>
      </c>
      <c r="F158" s="111">
        <v>4</v>
      </c>
      <c r="G158" s="112">
        <v>109.45</v>
      </c>
      <c r="H158" s="254">
        <v>13.28</v>
      </c>
      <c r="I158" s="85">
        <v>6.01</v>
      </c>
      <c r="J158" s="71">
        <v>1</v>
      </c>
      <c r="K158" s="72"/>
      <c r="L158" s="128" t="s">
        <v>50</v>
      </c>
      <c r="M158" s="125">
        <v>1.0449999999999999</v>
      </c>
      <c r="N158" s="123"/>
      <c r="O158" s="123"/>
      <c r="P158" s="75"/>
      <c r="Q158" s="75"/>
      <c r="R158" s="257" t="s">
        <v>126</v>
      </c>
      <c r="S158" s="207">
        <v>96</v>
      </c>
      <c r="T158" s="85">
        <v>28</v>
      </c>
      <c r="V158" s="30">
        <f t="shared" si="67"/>
        <v>3.9839999999999995</v>
      </c>
      <c r="W158" s="30">
        <f t="shared" si="64"/>
        <v>0</v>
      </c>
      <c r="X158" s="30">
        <f t="shared" si="68"/>
        <v>0</v>
      </c>
      <c r="Y158" s="30">
        <f t="shared" si="65"/>
        <v>117.83799999999999</v>
      </c>
      <c r="Z158" s="30">
        <f t="shared" si="66"/>
        <v>110</v>
      </c>
      <c r="AA158" s="30">
        <f t="shared" si="70"/>
        <v>0</v>
      </c>
      <c r="AB158" s="30">
        <f t="shared" si="69"/>
        <v>117.83799999999999</v>
      </c>
    </row>
    <row r="159" spans="1:28" ht="15" hidden="1" customHeight="1" x14ac:dyDescent="0.25">
      <c r="A159" s="216" t="s">
        <v>73</v>
      </c>
      <c r="B159" s="65">
        <v>100</v>
      </c>
      <c r="C159" s="217">
        <v>86</v>
      </c>
      <c r="D159" s="218" t="s">
        <v>75</v>
      </c>
      <c r="E159" s="85">
        <v>22</v>
      </c>
      <c r="F159" s="85">
        <v>3</v>
      </c>
      <c r="G159" s="219">
        <v>80.22</v>
      </c>
      <c r="H159" s="255">
        <v>13.84</v>
      </c>
      <c r="I159" s="85">
        <v>6.01</v>
      </c>
      <c r="J159" s="71">
        <v>1</v>
      </c>
      <c r="K159" s="72"/>
      <c r="L159" s="128" t="s">
        <v>50</v>
      </c>
      <c r="M159" s="125">
        <v>1.0449999999999999</v>
      </c>
      <c r="N159" s="123"/>
      <c r="O159" s="123"/>
      <c r="P159" s="75"/>
      <c r="Q159" s="75"/>
      <c r="R159" s="257" t="s">
        <v>127</v>
      </c>
      <c r="S159" s="207">
        <v>42</v>
      </c>
      <c r="T159" s="85">
        <v>29</v>
      </c>
      <c r="V159" s="30">
        <f t="shared" si="67"/>
        <v>4.1520000000000001</v>
      </c>
      <c r="W159" s="30">
        <f t="shared" si="64"/>
        <v>0</v>
      </c>
      <c r="X159" s="30">
        <f t="shared" si="68"/>
        <v>0</v>
      </c>
      <c r="Y159" s="30">
        <f t="shared" si="65"/>
        <v>88.775999999999996</v>
      </c>
      <c r="Z159" s="30">
        <f t="shared" si="66"/>
        <v>90</v>
      </c>
      <c r="AA159" s="30">
        <f t="shared" si="70"/>
        <v>0</v>
      </c>
      <c r="AB159" s="30">
        <f t="shared" si="69"/>
        <v>88.775999999999996</v>
      </c>
    </row>
    <row r="160" spans="1:28" ht="15" hidden="1" customHeight="1" x14ac:dyDescent="0.25">
      <c r="A160" s="247" t="s">
        <v>73</v>
      </c>
      <c r="B160" s="65">
        <v>100</v>
      </c>
      <c r="C160" s="248">
        <v>87</v>
      </c>
      <c r="D160" s="249" t="s">
        <v>76</v>
      </c>
      <c r="E160" s="250">
        <v>22</v>
      </c>
      <c r="F160" s="250">
        <v>5</v>
      </c>
      <c r="G160" s="251">
        <v>130.59</v>
      </c>
      <c r="H160" s="252">
        <v>12.21</v>
      </c>
      <c r="I160" s="85">
        <v>6.24</v>
      </c>
      <c r="J160" s="71">
        <v>2</v>
      </c>
      <c r="K160" s="72"/>
      <c r="L160" s="128" t="s">
        <v>50</v>
      </c>
      <c r="M160" s="125">
        <v>1.0449999999999999</v>
      </c>
      <c r="N160" s="123"/>
      <c r="O160" s="123"/>
      <c r="P160" s="75"/>
      <c r="Q160" s="75"/>
      <c r="R160" s="257" t="s">
        <v>128</v>
      </c>
      <c r="S160" s="208">
        <v>140141</v>
      </c>
      <c r="T160" s="85">
        <v>101</v>
      </c>
      <c r="U160" s="86">
        <f>P160-500000</f>
        <v>-500000</v>
      </c>
      <c r="V160" s="30">
        <f t="shared" si="67"/>
        <v>3.6630000000000003</v>
      </c>
      <c r="W160" s="30">
        <f t="shared" si="64"/>
        <v>0</v>
      </c>
      <c r="X160" s="30">
        <f t="shared" si="68"/>
        <v>0</v>
      </c>
      <c r="Y160" s="30">
        <f t="shared" si="65"/>
        <v>140.74900000000002</v>
      </c>
      <c r="Z160" s="30">
        <f t="shared" si="66"/>
        <v>125</v>
      </c>
      <c r="AA160" s="30">
        <f t="shared" si="70"/>
        <v>0.83850000000000047</v>
      </c>
      <c r="AB160" s="30">
        <f t="shared" si="69"/>
        <v>139.91050000000001</v>
      </c>
    </row>
    <row r="161" spans="1:28" ht="15.75" hidden="1" customHeight="1" thickBot="1" x14ac:dyDescent="0.3">
      <c r="A161" s="227" t="s">
        <v>73</v>
      </c>
      <c r="B161" s="65">
        <v>100</v>
      </c>
      <c r="C161" s="228">
        <v>88</v>
      </c>
      <c r="D161" s="80" t="s">
        <v>77</v>
      </c>
      <c r="E161" s="80">
        <v>22</v>
      </c>
      <c r="F161" s="80">
        <v>5</v>
      </c>
      <c r="G161" s="230">
        <v>129.22999999999999</v>
      </c>
      <c r="H161" s="253">
        <v>15.72</v>
      </c>
      <c r="I161" s="85">
        <v>8.68</v>
      </c>
      <c r="J161" s="71">
        <v>2</v>
      </c>
      <c r="K161" s="72"/>
      <c r="L161" s="128" t="s">
        <v>50</v>
      </c>
      <c r="M161" s="125">
        <v>1.0449999999999999</v>
      </c>
      <c r="N161" s="123"/>
      <c r="O161" s="123"/>
      <c r="P161" s="75"/>
      <c r="Q161" s="75"/>
      <c r="R161" s="258" t="s">
        <v>129</v>
      </c>
      <c r="S161" s="207" t="s">
        <v>107</v>
      </c>
      <c r="T161" s="85">
        <v>102</v>
      </c>
      <c r="U161" s="86">
        <f>P161-500000</f>
        <v>-500000</v>
      </c>
      <c r="V161" s="30">
        <f t="shared" si="67"/>
        <v>4.7160000000000002</v>
      </c>
      <c r="W161" s="30">
        <f t="shared" si="64"/>
        <v>0</v>
      </c>
      <c r="X161" s="30">
        <f t="shared" si="68"/>
        <v>0</v>
      </c>
      <c r="Y161" s="30">
        <f t="shared" si="65"/>
        <v>141.41800000000001</v>
      </c>
      <c r="Z161" s="30">
        <f t="shared" si="66"/>
        <v>125</v>
      </c>
      <c r="AA161" s="30">
        <f t="shared" si="70"/>
        <v>0.6344999999999984</v>
      </c>
      <c r="AB161" s="30">
        <f t="shared" si="69"/>
        <v>140.7835</v>
      </c>
    </row>
    <row r="162" spans="1:28" ht="15" hidden="1" customHeight="1" x14ac:dyDescent="0.25">
      <c r="A162" s="215" t="s">
        <v>73</v>
      </c>
      <c r="B162" s="65">
        <v>100</v>
      </c>
      <c r="C162" s="126">
        <v>89</v>
      </c>
      <c r="D162" s="127" t="s">
        <v>74</v>
      </c>
      <c r="E162" s="111">
        <v>23</v>
      </c>
      <c r="F162" s="111">
        <v>4</v>
      </c>
      <c r="G162" s="112">
        <v>109.45</v>
      </c>
      <c r="H162" s="254">
        <v>13.28</v>
      </c>
      <c r="I162" s="85">
        <v>5.56</v>
      </c>
      <c r="J162" s="71">
        <v>1</v>
      </c>
      <c r="K162" s="72"/>
      <c r="L162" s="128" t="s">
        <v>50</v>
      </c>
      <c r="M162" s="125">
        <v>1.05</v>
      </c>
      <c r="N162" s="123"/>
      <c r="O162" s="123"/>
      <c r="P162" s="75"/>
      <c r="Q162" s="75"/>
      <c r="R162" s="257" t="s">
        <v>126</v>
      </c>
      <c r="S162" s="207">
        <v>95</v>
      </c>
      <c r="T162" s="85">
        <v>30</v>
      </c>
      <c r="V162" s="30">
        <f t="shared" si="67"/>
        <v>3.9839999999999995</v>
      </c>
      <c r="W162" s="30">
        <f t="shared" si="64"/>
        <v>0</v>
      </c>
      <c r="X162" s="30">
        <f t="shared" si="68"/>
        <v>0</v>
      </c>
      <c r="Y162" s="30">
        <f t="shared" si="65"/>
        <v>117.658</v>
      </c>
      <c r="Z162" s="30">
        <f t="shared" si="66"/>
        <v>110</v>
      </c>
      <c r="AA162" s="30">
        <f t="shared" si="70"/>
        <v>0</v>
      </c>
      <c r="AB162" s="30">
        <f t="shared" si="69"/>
        <v>117.658</v>
      </c>
    </row>
    <row r="163" spans="1:28" ht="15" hidden="1" customHeight="1" x14ac:dyDescent="0.25">
      <c r="A163" s="216" t="s">
        <v>73</v>
      </c>
      <c r="B163" s="65">
        <v>100</v>
      </c>
      <c r="C163" s="217">
        <v>90</v>
      </c>
      <c r="D163" s="218" t="s">
        <v>75</v>
      </c>
      <c r="E163" s="85">
        <v>23</v>
      </c>
      <c r="F163" s="85">
        <v>3</v>
      </c>
      <c r="G163" s="219">
        <v>80.22</v>
      </c>
      <c r="H163" s="255">
        <v>13.84</v>
      </c>
      <c r="I163" s="85">
        <v>5.73</v>
      </c>
      <c r="J163" s="71">
        <v>1</v>
      </c>
      <c r="K163" s="72"/>
      <c r="L163" s="128" t="s">
        <v>50</v>
      </c>
      <c r="M163" s="125">
        <v>1.05</v>
      </c>
      <c r="N163" s="123"/>
      <c r="O163" s="123"/>
      <c r="P163" s="75"/>
      <c r="Q163" s="75"/>
      <c r="R163" s="257" t="s">
        <v>127</v>
      </c>
      <c r="S163" s="207">
        <v>1</v>
      </c>
      <c r="T163" s="85">
        <v>31</v>
      </c>
      <c r="V163" s="30">
        <f t="shared" si="67"/>
        <v>4.1520000000000001</v>
      </c>
      <c r="W163" s="30">
        <f t="shared" si="64"/>
        <v>0</v>
      </c>
      <c r="X163" s="30">
        <f t="shared" si="68"/>
        <v>0</v>
      </c>
      <c r="Y163" s="30">
        <f t="shared" si="65"/>
        <v>88.664000000000001</v>
      </c>
      <c r="Z163" s="30">
        <f t="shared" si="66"/>
        <v>90</v>
      </c>
      <c r="AA163" s="30">
        <f t="shared" si="70"/>
        <v>0</v>
      </c>
      <c r="AB163" s="30">
        <f t="shared" si="69"/>
        <v>88.664000000000001</v>
      </c>
    </row>
    <row r="164" spans="1:28" ht="15" hidden="1" customHeight="1" x14ac:dyDescent="0.25">
      <c r="A164" s="247" t="s">
        <v>73</v>
      </c>
      <c r="B164" s="65">
        <v>100</v>
      </c>
      <c r="C164" s="248">
        <v>91</v>
      </c>
      <c r="D164" s="249" t="s">
        <v>76</v>
      </c>
      <c r="E164" s="250">
        <v>23</v>
      </c>
      <c r="F164" s="250">
        <v>5</v>
      </c>
      <c r="G164" s="251">
        <v>130.59</v>
      </c>
      <c r="H164" s="252">
        <v>12.21</v>
      </c>
      <c r="I164" s="85">
        <v>6.24</v>
      </c>
      <c r="J164" s="71">
        <v>2</v>
      </c>
      <c r="K164" s="72"/>
      <c r="L164" s="128" t="s">
        <v>50</v>
      </c>
      <c r="M164" s="125">
        <v>1.05</v>
      </c>
      <c r="N164" s="123"/>
      <c r="O164" s="123"/>
      <c r="P164" s="75"/>
      <c r="Q164" s="75"/>
      <c r="R164" s="257" t="s">
        <v>128</v>
      </c>
      <c r="S164" s="207" t="s">
        <v>106</v>
      </c>
      <c r="T164" s="85">
        <v>103</v>
      </c>
      <c r="U164" s="86">
        <f t="shared" ref="U164:U169" si="71">P164-500000</f>
        <v>-500000</v>
      </c>
      <c r="V164" s="30">
        <f t="shared" si="67"/>
        <v>3.6630000000000003</v>
      </c>
      <c r="W164" s="30">
        <f t="shared" si="64"/>
        <v>0</v>
      </c>
      <c r="X164" s="30">
        <f t="shared" si="68"/>
        <v>0</v>
      </c>
      <c r="Y164" s="30">
        <f t="shared" si="65"/>
        <v>140.74900000000002</v>
      </c>
      <c r="Z164" s="30">
        <f t="shared" si="66"/>
        <v>125</v>
      </c>
      <c r="AA164" s="30">
        <f t="shared" si="70"/>
        <v>0.83850000000000047</v>
      </c>
      <c r="AB164" s="30">
        <f t="shared" si="69"/>
        <v>139.91050000000001</v>
      </c>
    </row>
    <row r="165" spans="1:28" ht="15.75" hidden="1" customHeight="1" thickBot="1" x14ac:dyDescent="0.3">
      <c r="A165" s="227" t="s">
        <v>73</v>
      </c>
      <c r="B165" s="65">
        <v>100</v>
      </c>
      <c r="C165" s="228">
        <v>92</v>
      </c>
      <c r="D165" s="80" t="s">
        <v>77</v>
      </c>
      <c r="E165" s="80">
        <v>23</v>
      </c>
      <c r="F165" s="80">
        <v>5</v>
      </c>
      <c r="G165" s="230">
        <v>129.22999999999999</v>
      </c>
      <c r="H165" s="253">
        <v>15.72</v>
      </c>
      <c r="I165" s="85">
        <v>8.68</v>
      </c>
      <c r="J165" s="71">
        <v>2</v>
      </c>
      <c r="K165" s="72"/>
      <c r="L165" s="128" t="s">
        <v>50</v>
      </c>
      <c r="M165" s="125">
        <v>1.05</v>
      </c>
      <c r="N165" s="123"/>
      <c r="O165" s="123"/>
      <c r="P165" s="75"/>
      <c r="Q165" s="75"/>
      <c r="R165" s="258" t="s">
        <v>129</v>
      </c>
      <c r="S165" s="208">
        <v>154155</v>
      </c>
      <c r="T165" s="85">
        <v>104</v>
      </c>
      <c r="U165" s="86">
        <f t="shared" si="71"/>
        <v>-500000</v>
      </c>
      <c r="V165" s="30">
        <f t="shared" si="67"/>
        <v>4.7160000000000002</v>
      </c>
      <c r="W165" s="30">
        <f t="shared" si="64"/>
        <v>0</v>
      </c>
      <c r="X165" s="30">
        <f t="shared" si="68"/>
        <v>0</v>
      </c>
      <c r="Y165" s="30">
        <f t="shared" si="65"/>
        <v>141.41800000000001</v>
      </c>
      <c r="Z165" s="30">
        <f t="shared" si="66"/>
        <v>125</v>
      </c>
      <c r="AA165" s="30">
        <f t="shared" si="70"/>
        <v>0.6344999999999984</v>
      </c>
      <c r="AB165" s="30">
        <f t="shared" si="69"/>
        <v>140.7835</v>
      </c>
    </row>
    <row r="166" spans="1:28" ht="15" hidden="1" customHeight="1" x14ac:dyDescent="0.25">
      <c r="A166" s="114" t="s">
        <v>73</v>
      </c>
      <c r="B166" s="65">
        <v>100</v>
      </c>
      <c r="C166" s="115">
        <v>93</v>
      </c>
      <c r="D166" s="116" t="s">
        <v>78</v>
      </c>
      <c r="E166" s="117">
        <v>24</v>
      </c>
      <c r="F166" s="117">
        <v>5</v>
      </c>
      <c r="G166" s="118">
        <v>154.34</v>
      </c>
      <c r="H166" s="131">
        <v>90.76</v>
      </c>
      <c r="I166" s="85">
        <v>8.86</v>
      </c>
      <c r="J166" s="71">
        <v>2</v>
      </c>
      <c r="K166" s="72"/>
      <c r="L166" s="128" t="s">
        <v>50</v>
      </c>
      <c r="M166" s="125">
        <v>1.05</v>
      </c>
      <c r="N166" s="74"/>
      <c r="O166" s="74"/>
      <c r="P166" s="75"/>
      <c r="Q166" s="75"/>
      <c r="R166" s="257" t="s">
        <v>125</v>
      </c>
      <c r="S166" s="208">
        <v>158159</v>
      </c>
      <c r="T166" s="85">
        <v>106</v>
      </c>
      <c r="U166" s="86">
        <f t="shared" si="71"/>
        <v>-500000</v>
      </c>
      <c r="V166" s="30">
        <f t="shared" si="67"/>
        <v>9</v>
      </c>
      <c r="W166" s="87">
        <v>6</v>
      </c>
      <c r="X166" s="30">
        <f t="shared" si="68"/>
        <v>3.0760000000000005</v>
      </c>
      <c r="Y166" s="30">
        <f>W166+V166+G166+I166*$I$11+X166+J166*$J$11</f>
        <v>179.96</v>
      </c>
      <c r="Z166" s="30">
        <f t="shared" si="66"/>
        <v>125</v>
      </c>
      <c r="AA166" s="30">
        <f t="shared" si="70"/>
        <v>4.4010000000000007</v>
      </c>
      <c r="AB166" s="30">
        <f t="shared" si="69"/>
        <v>175.559</v>
      </c>
    </row>
    <row r="167" spans="1:28" ht="15.75" hidden="1" customHeight="1" thickBot="1" x14ac:dyDescent="0.3">
      <c r="A167" s="77" t="s">
        <v>73</v>
      </c>
      <c r="B167" s="65">
        <v>100</v>
      </c>
      <c r="C167" s="79">
        <v>94</v>
      </c>
      <c r="D167" s="81" t="s">
        <v>79</v>
      </c>
      <c r="E167" s="97">
        <v>24</v>
      </c>
      <c r="F167" s="97">
        <v>5</v>
      </c>
      <c r="G167" s="82">
        <v>156.69</v>
      </c>
      <c r="H167" s="130">
        <v>69.72</v>
      </c>
      <c r="I167" s="85">
        <v>6.66</v>
      </c>
      <c r="J167" s="71">
        <v>2</v>
      </c>
      <c r="K167" s="72"/>
      <c r="L167" s="128" t="s">
        <v>50</v>
      </c>
      <c r="M167" s="125">
        <v>1.05</v>
      </c>
      <c r="N167" s="74"/>
      <c r="O167" s="74"/>
      <c r="P167" s="75"/>
      <c r="Q167" s="75"/>
      <c r="R167" s="258" t="s">
        <v>132</v>
      </c>
      <c r="S167" s="208">
        <v>157156</v>
      </c>
      <c r="T167" s="85">
        <v>105</v>
      </c>
      <c r="U167" s="86">
        <f t="shared" si="71"/>
        <v>-500000</v>
      </c>
      <c r="V167" s="30">
        <f t="shared" si="67"/>
        <v>9</v>
      </c>
      <c r="W167" s="87">
        <v>6</v>
      </c>
      <c r="X167" s="30">
        <f t="shared" si="68"/>
        <v>0.97199999999999998</v>
      </c>
      <c r="Y167" s="30">
        <f>W167+V167+G167+I167*$I$11+X167+J167*$J$11</f>
        <v>179.32599999999999</v>
      </c>
      <c r="Z167" s="30">
        <f t="shared" si="66"/>
        <v>125</v>
      </c>
      <c r="AA167" s="30">
        <f t="shared" si="70"/>
        <v>4.7534999999999998</v>
      </c>
      <c r="AB167" s="30">
        <f t="shared" si="69"/>
        <v>174.57249999999999</v>
      </c>
    </row>
    <row r="168" spans="1:28" ht="15" hidden="1" customHeight="1" x14ac:dyDescent="0.25">
      <c r="A168" s="114" t="s">
        <v>73</v>
      </c>
      <c r="B168" s="65">
        <v>100</v>
      </c>
      <c r="C168" s="115">
        <v>95</v>
      </c>
      <c r="D168" s="116" t="s">
        <v>80</v>
      </c>
      <c r="E168" s="117">
        <v>25</v>
      </c>
      <c r="F168" s="117">
        <v>5</v>
      </c>
      <c r="G168" s="118">
        <v>156.37</v>
      </c>
      <c r="H168" s="131">
        <v>35.520000000000003</v>
      </c>
      <c r="I168" s="85">
        <v>8.86</v>
      </c>
      <c r="J168" s="71">
        <v>2</v>
      </c>
      <c r="K168" s="72"/>
      <c r="L168" s="128" t="s">
        <v>50</v>
      </c>
      <c r="M168" s="125">
        <v>1.05</v>
      </c>
      <c r="N168" s="74"/>
      <c r="O168" s="74"/>
      <c r="P168" s="75"/>
      <c r="Q168" s="75"/>
      <c r="R168" s="257" t="s">
        <v>125</v>
      </c>
      <c r="S168" s="208">
        <v>152153</v>
      </c>
      <c r="T168" s="85">
        <v>108</v>
      </c>
      <c r="U168" s="86">
        <f t="shared" si="71"/>
        <v>-500000</v>
      </c>
      <c r="V168" s="30">
        <f t="shared" si="67"/>
        <v>9</v>
      </c>
      <c r="W168" s="30">
        <f>IF(H168&gt;$V$10,(H168-$V$10)*$W$11,0)</f>
        <v>1.1040000000000008</v>
      </c>
      <c r="X168" s="30">
        <f t="shared" si="68"/>
        <v>0</v>
      </c>
      <c r="Y168" s="30">
        <f>W168+V168+G168+I168*$I$11+J168*$J$11</f>
        <v>174.01800000000003</v>
      </c>
      <c r="Z168" s="30">
        <f t="shared" si="66"/>
        <v>125</v>
      </c>
      <c r="AA168" s="30">
        <f t="shared" si="70"/>
        <v>4.7055000000000007</v>
      </c>
      <c r="AB168" s="30">
        <f t="shared" si="69"/>
        <v>169.31250000000003</v>
      </c>
    </row>
    <row r="169" spans="1:28" ht="15.75" hidden="1" customHeight="1" thickBot="1" x14ac:dyDescent="0.3">
      <c r="A169" s="77" t="s">
        <v>73</v>
      </c>
      <c r="B169" s="65">
        <v>100</v>
      </c>
      <c r="C169" s="79">
        <v>96</v>
      </c>
      <c r="D169" s="81" t="s">
        <v>81</v>
      </c>
      <c r="E169" s="97">
        <v>25</v>
      </c>
      <c r="F169" s="97">
        <v>5</v>
      </c>
      <c r="G169" s="82">
        <v>157.37</v>
      </c>
      <c r="H169" s="130">
        <v>34.26</v>
      </c>
      <c r="I169" s="85">
        <v>6.66</v>
      </c>
      <c r="J169" s="71">
        <v>2</v>
      </c>
      <c r="K169" s="72"/>
      <c r="L169" s="128" t="s">
        <v>50</v>
      </c>
      <c r="M169" s="125">
        <v>1.05</v>
      </c>
      <c r="N169" s="74"/>
      <c r="O169" s="74"/>
      <c r="P169" s="75"/>
      <c r="Q169" s="75"/>
      <c r="R169" s="258" t="s">
        <v>132</v>
      </c>
      <c r="S169" s="208">
        <v>150151</v>
      </c>
      <c r="T169" s="85">
        <v>107</v>
      </c>
      <c r="U169" s="86">
        <f t="shared" si="71"/>
        <v>-500000</v>
      </c>
      <c r="V169" s="30">
        <f t="shared" si="67"/>
        <v>9</v>
      </c>
      <c r="W169" s="30">
        <f>IF(H169&gt;$V$10,(H169-$V$10)*$W$11,0)</f>
        <v>0.85199999999999965</v>
      </c>
      <c r="X169" s="30">
        <f t="shared" si="68"/>
        <v>0</v>
      </c>
      <c r="Y169" s="30">
        <f>W169+V169+G169+I169*$I$11+J169*$J$11</f>
        <v>173.886</v>
      </c>
      <c r="Z169" s="30">
        <f t="shared" si="66"/>
        <v>125</v>
      </c>
      <c r="AA169" s="30">
        <f t="shared" si="70"/>
        <v>4.8555000000000001</v>
      </c>
      <c r="AB169" s="30">
        <f t="shared" si="69"/>
        <v>169.03049999999999</v>
      </c>
    </row>
    <row r="170" spans="1:28" ht="15.75" hidden="1" thickBot="1" x14ac:dyDescent="0.3">
      <c r="A170" s="274" t="s">
        <v>56</v>
      </c>
      <c r="B170" s="275"/>
      <c r="C170" s="275"/>
      <c r="D170" s="275"/>
      <c r="E170" s="275"/>
      <c r="F170" s="275"/>
      <c r="G170" s="98">
        <f>SUMIF(L74:L169,"כן",G74:G169)/COUNT(C74:C169)</f>
        <v>56.00135416666668</v>
      </c>
      <c r="H170" s="99"/>
      <c r="I170" s="277" t="s">
        <v>57</v>
      </c>
      <c r="J170" s="277"/>
      <c r="K170" s="101">
        <f>COUNTIF(L74:L169,"כן")/COUNT(C74:C169)</f>
        <v>0.51041666666666663</v>
      </c>
      <c r="L170" s="125">
        <v>0.51041666666666663</v>
      </c>
      <c r="M170" s="125"/>
      <c r="N170" s="125"/>
      <c r="O170" s="125"/>
      <c r="P170" s="125"/>
      <c r="Q170" s="110"/>
      <c r="R170" s="110"/>
    </row>
    <row r="171" spans="1:28" ht="15" hidden="1" x14ac:dyDescent="0.25">
      <c r="A171" s="132"/>
      <c r="B171" s="133"/>
      <c r="C171" s="133"/>
      <c r="D171" s="133"/>
      <c r="E171" s="133"/>
      <c r="F171" s="133"/>
      <c r="G171" s="134"/>
      <c r="H171" s="135"/>
      <c r="I171" s="136"/>
      <c r="J171" s="136"/>
      <c r="K171" s="137"/>
      <c r="L171" s="138"/>
      <c r="M171" s="138"/>
      <c r="N171" s="138"/>
      <c r="O171" s="138"/>
      <c r="P171" s="138"/>
    </row>
    <row r="172" spans="1:28" ht="15" hidden="1" x14ac:dyDescent="0.25">
      <c r="A172" s="268" t="s">
        <v>82</v>
      </c>
      <c r="B172" s="269"/>
      <c r="C172" s="269"/>
      <c r="D172" s="269"/>
      <c r="E172" s="269"/>
      <c r="F172" s="270"/>
      <c r="G172" s="139">
        <f>SUMIF(L13:L169,"כן",G13:G169)</f>
        <v>8169.0999999999985</v>
      </c>
      <c r="H172" s="140"/>
      <c r="I172" s="141" t="s">
        <v>83</v>
      </c>
      <c r="J172" s="142"/>
      <c r="K172" s="143"/>
      <c r="L172" s="144">
        <f>COUNTIF(L13:L169,"כן")</f>
        <v>77</v>
      </c>
      <c r="M172" s="145"/>
      <c r="N172" s="145"/>
      <c r="O172" s="145"/>
      <c r="P172" s="145"/>
      <c r="Q172" s="145"/>
      <c r="R172" s="146"/>
      <c r="S172" s="211"/>
    </row>
    <row r="173" spans="1:28" ht="15.75" hidden="1" thickBot="1" x14ac:dyDescent="0.3">
      <c r="A173" s="271" t="s">
        <v>84</v>
      </c>
      <c r="B173" s="272"/>
      <c r="C173" s="272"/>
      <c r="D173" s="272"/>
      <c r="E173" s="272"/>
      <c r="F173" s="273"/>
      <c r="G173" s="147">
        <f>SUMIF(L29:L72,"כן",G29:G72)/(SUMIF(L29:L72,"כן",G29:G72)+SUMIF(L29:L72,"לא",G29:G72))</f>
        <v>0.45242016469170521</v>
      </c>
      <c r="H173" s="148"/>
      <c r="I173" s="149" t="s">
        <v>85</v>
      </c>
      <c r="J173" s="150"/>
      <c r="K173" s="151"/>
      <c r="L173" s="152">
        <f>COUNTIF(L13:L169,"כן")/COUNT(C13:C169)</f>
        <v>0.5</v>
      </c>
      <c r="M173" s="153"/>
      <c r="N173" s="153"/>
      <c r="O173" s="153"/>
      <c r="P173" s="153"/>
      <c r="Q173" s="153"/>
      <c r="R173" s="146"/>
      <c r="S173" s="211"/>
    </row>
    <row r="174" spans="1:28" ht="15" hidden="1" x14ac:dyDescent="0.2">
      <c r="A174" s="263" t="s">
        <v>86</v>
      </c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11"/>
    </row>
    <row r="175" spans="1:28" ht="15" hidden="1" x14ac:dyDescent="0.2">
      <c r="C175" s="154"/>
      <c r="D175" s="154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6"/>
      <c r="R175" s="155"/>
      <c r="S175" s="211"/>
    </row>
    <row r="176" spans="1:28" ht="15.75" hidden="1" x14ac:dyDescent="0.25">
      <c r="A176" s="264" t="s">
        <v>87</v>
      </c>
      <c r="B176" s="264"/>
      <c r="C176" s="265"/>
      <c r="D176" s="265"/>
      <c r="E176" s="265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11"/>
      <c r="Y176" s="43"/>
      <c r="AA176" s="43"/>
    </row>
    <row r="177" spans="1:28" ht="15.75" hidden="1" x14ac:dyDescent="0.25">
      <c r="A177" s="266" t="s">
        <v>88</v>
      </c>
      <c r="B177" s="266"/>
      <c r="C177" s="267"/>
      <c r="D177" s="267"/>
      <c r="E177" s="267"/>
      <c r="F177" s="267"/>
      <c r="G177" s="267"/>
      <c r="H177" s="267"/>
      <c r="I177" s="267"/>
      <c r="J177" s="267"/>
      <c r="K177" s="267"/>
      <c r="L177" s="267"/>
      <c r="M177" s="267"/>
      <c r="N177" s="267"/>
      <c r="O177" s="267"/>
      <c r="P177" s="267"/>
      <c r="Q177" s="267"/>
      <c r="R177" s="267"/>
      <c r="S177" s="211"/>
      <c r="Y177" s="157"/>
      <c r="AA177" s="157"/>
      <c r="AB177" s="158"/>
    </row>
    <row r="178" spans="1:28" hidden="1" x14ac:dyDescent="0.2">
      <c r="Q178" s="159"/>
      <c r="S178" s="211"/>
      <c r="Y178" s="157"/>
      <c r="Z178" s="157"/>
      <c r="AA178" s="157"/>
      <c r="AB178" s="158"/>
    </row>
    <row r="179" spans="1:28" hidden="1" x14ac:dyDescent="0.2">
      <c r="Y179" s="157"/>
      <c r="Z179" s="157"/>
      <c r="AA179" s="157"/>
    </row>
    <row r="180" spans="1:28" x14ac:dyDescent="0.2">
      <c r="Y180" s="157"/>
      <c r="Z180" s="157"/>
      <c r="AA180" s="157"/>
    </row>
    <row r="181" spans="1:28" x14ac:dyDescent="0.2">
      <c r="J181" s="160"/>
    </row>
    <row r="183" spans="1:28" x14ac:dyDescent="0.2">
      <c r="N183" s="160"/>
    </row>
    <row r="187" spans="1:28" x14ac:dyDescent="0.2">
      <c r="L187" s="157"/>
    </row>
  </sheetData>
  <sheetProtection sort="0" autoFilter="0"/>
  <autoFilter ref="A12:AH170" xr:uid="{00000000-0001-0000-0000-000000000000}">
    <filterColumn colId="11">
      <filters>
        <filter val="כן"/>
      </filters>
    </filterColumn>
  </autoFilter>
  <mergeCells count="24">
    <mergeCell ref="B6:D6"/>
    <mergeCell ref="B8:D8"/>
    <mergeCell ref="G4:M4"/>
    <mergeCell ref="AM2:AM3"/>
    <mergeCell ref="AM4:AM5"/>
    <mergeCell ref="B7:D7"/>
    <mergeCell ref="A1:M1"/>
    <mergeCell ref="F2:K2"/>
    <mergeCell ref="E3:K3"/>
    <mergeCell ref="G5:K5"/>
    <mergeCell ref="B4:D4"/>
    <mergeCell ref="B5:D5"/>
    <mergeCell ref="I9:N9"/>
    <mergeCell ref="A11:C11"/>
    <mergeCell ref="A174:R174"/>
    <mergeCell ref="A176:R176"/>
    <mergeCell ref="A177:R177"/>
    <mergeCell ref="A172:F172"/>
    <mergeCell ref="A173:F173"/>
    <mergeCell ref="A28:F28"/>
    <mergeCell ref="A44:F44"/>
    <mergeCell ref="A73:F73"/>
    <mergeCell ref="A170:F170"/>
    <mergeCell ref="I170:J170"/>
  </mergeCells>
  <conditionalFormatting sqref="O9 R172:S1048576">
    <cfRule type="containsText" dxfId="21" priority="19" operator="containsText" text="גדול">
      <formula>NOT(ISERROR(SEARCH("גדול",O9)))</formula>
    </cfRule>
    <cfRule type="containsText" dxfId="20" priority="20" operator="containsText" text="קטן מהמינימום הנדרש במכרז">
      <formula>NOT(ISERROR(SEARCH("קטן מהמינימום הנדרש במכרז",O9)))</formula>
    </cfRule>
  </conditionalFormatting>
  <conditionalFormatting sqref="Q9">
    <cfRule type="containsText" dxfId="19" priority="9" operator="containsText" text="גדול">
      <formula>NOT(ISERROR(SEARCH("גדול",Q9)))</formula>
    </cfRule>
    <cfRule type="containsText" dxfId="18" priority="10" operator="containsText" text="קטן מהמינימום הנדרש במכרז">
      <formula>NOT(ISERROR(SEARCH("קטן מהמינימום הנדרש במכרז",Q9)))</formula>
    </cfRule>
  </conditionalFormatting>
  <conditionalFormatting sqref="Q28">
    <cfRule type="containsText" dxfId="17" priority="17" operator="containsText" text="גדול">
      <formula>NOT(ISERROR(SEARCH("גדול",Q28)))</formula>
    </cfRule>
    <cfRule type="containsText" dxfId="16" priority="18" operator="containsText" text="קטן מהמינימום הנדרש במכרז">
      <formula>NOT(ISERROR(SEARCH("קטן מהמינימום הנדרש במכרז",Q28)))</formula>
    </cfRule>
  </conditionalFormatting>
  <conditionalFormatting sqref="Q44">
    <cfRule type="containsText" dxfId="15" priority="15" operator="containsText" text="גדול">
      <formula>NOT(ISERROR(SEARCH("גדול",Q44)))</formula>
    </cfRule>
    <cfRule type="containsText" dxfId="14" priority="16" operator="containsText" text="קטן מהמינימום הנדרש במכרז">
      <formula>NOT(ISERROR(SEARCH("קטן מהמינימום הנדרש במכרז",Q44)))</formula>
    </cfRule>
  </conditionalFormatting>
  <conditionalFormatting sqref="Q73">
    <cfRule type="containsText" dxfId="13" priority="13" operator="containsText" text="גדול">
      <formula>NOT(ISERROR(SEARCH("גדול",Q73)))</formula>
    </cfRule>
    <cfRule type="containsText" dxfId="12" priority="14" operator="containsText" text="קטן מהמינימום הנדרש במכרז">
      <formula>NOT(ISERROR(SEARCH("קטן מהמינימום הנדרש במכרז",Q73)))</formula>
    </cfRule>
  </conditionalFormatting>
  <conditionalFormatting sqref="Q170:Q171">
    <cfRule type="containsText" dxfId="11" priority="11" operator="containsText" text="גדול">
      <formula>NOT(ISERROR(SEARCH("גדול",Q170)))</formula>
    </cfRule>
    <cfRule type="containsText" dxfId="10" priority="12" operator="containsText" text="קטן מהמינימום הנדרש במכרז">
      <formula>NOT(ISERROR(SEARCH("קטן מהמינימום הנדרש במכרז",Q170)))</formula>
    </cfRule>
  </conditionalFormatting>
  <conditionalFormatting sqref="R10:S27">
    <cfRule type="containsText" dxfId="9" priority="7" operator="containsText" text="גדול">
      <formula>NOT(ISERROR(SEARCH("גדול",R10)))</formula>
    </cfRule>
    <cfRule type="containsText" dxfId="8" priority="8" operator="containsText" text="קטן מהמינימום הנדרש במכרז">
      <formula>NOT(ISERROR(SEARCH("קטן מהמינימום הנדרש במכרז",R10)))</formula>
    </cfRule>
  </conditionalFormatting>
  <conditionalFormatting sqref="R29:S43">
    <cfRule type="containsText" dxfId="7" priority="5" operator="containsText" text="גדול">
      <formula>NOT(ISERROR(SEARCH("גדול",R29)))</formula>
    </cfRule>
    <cfRule type="containsText" dxfId="6" priority="6" operator="containsText" text="קטן מהמינימום הנדרש במכרז">
      <formula>NOT(ISERROR(SEARCH("קטן מהמינימום הנדרש במכרז",R29)))</formula>
    </cfRule>
  </conditionalFormatting>
  <conditionalFormatting sqref="R45:S72">
    <cfRule type="containsText" dxfId="5" priority="3" operator="containsText" text="גדול">
      <formula>NOT(ISERROR(SEARCH("גדול",R45)))</formula>
    </cfRule>
    <cfRule type="containsText" dxfId="4" priority="4" operator="containsText" text="קטן מהמינימום הנדרש במכרז">
      <formula>NOT(ISERROR(SEARCH("קטן מהמינימום הנדרש במכרז",R45)))</formula>
    </cfRule>
  </conditionalFormatting>
  <conditionalFormatting sqref="R74:S169">
    <cfRule type="containsText" dxfId="3" priority="1" operator="containsText" text="גדול">
      <formula>NOT(ISERROR(SEARCH("גדול",R74)))</formula>
    </cfRule>
    <cfRule type="containsText" dxfId="2" priority="2" operator="containsText" text="קטן מהמינימום הנדרש במכרז">
      <formula>NOT(ISERROR(SEARCH("קטן מהמינימום הנדרש במכרז",R74)))</formula>
    </cfRule>
  </conditionalFormatting>
  <pageMargins left="0.23622047244094491" right="0.23622047244094491" top="0.74803149606299213" bottom="0.74803149606299213" header="0.31496062992125984" footer="0.31496062992125984"/>
  <pageSetup paperSize="8" scale="96" fitToHeight="2" orientation="portrait" r:id="rId1"/>
  <rowBreaks count="1" manualBreakCount="1">
    <brk id="440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6630-1C5D-4E5C-A9C3-2418C75C2954}">
  <dimension ref="A4:K26"/>
  <sheetViews>
    <sheetView rightToLeft="1" workbookViewId="0">
      <selection activeCell="G15" sqref="G15:G16"/>
    </sheetView>
  </sheetViews>
  <sheetFormatPr defaultRowHeight="14.25" x14ac:dyDescent="0.2"/>
  <cols>
    <col min="2" max="2" width="12" bestFit="1" customWidth="1"/>
    <col min="3" max="3" width="9.125" hidden="1" customWidth="1"/>
    <col min="4" max="4" width="13.625" customWidth="1"/>
    <col min="5" max="5" width="15.125" customWidth="1"/>
    <col min="6" max="6" width="12" customWidth="1"/>
    <col min="7" max="7" width="18.25" customWidth="1"/>
    <col min="8" max="8" width="13.375" customWidth="1"/>
    <col min="9" max="9" width="17.375" customWidth="1"/>
    <col min="10" max="10" width="13.375" customWidth="1"/>
    <col min="11" max="11" width="25" bestFit="1" customWidth="1"/>
  </cols>
  <sheetData>
    <row r="4" spans="1:11" ht="18" x14ac:dyDescent="0.25">
      <c r="G4" s="296" t="s">
        <v>89</v>
      </c>
      <c r="H4" s="296"/>
    </row>
    <row r="7" spans="1:11" ht="15" thickBot="1" x14ac:dyDescent="0.25"/>
    <row r="8" spans="1:11" ht="30" x14ac:dyDescent="0.25">
      <c r="A8" s="3" t="s">
        <v>90</v>
      </c>
      <c r="B8" s="4" t="s">
        <v>91</v>
      </c>
      <c r="C8" s="4"/>
      <c r="D8" s="5" t="s">
        <v>92</v>
      </c>
      <c r="E8" s="5" t="s">
        <v>93</v>
      </c>
      <c r="F8" s="5" t="s">
        <v>94</v>
      </c>
      <c r="G8" s="6" t="s">
        <v>95</v>
      </c>
      <c r="H8" s="7" t="s">
        <v>96</v>
      </c>
      <c r="I8" s="8" t="s">
        <v>97</v>
      </c>
      <c r="J8" s="8" t="s">
        <v>98</v>
      </c>
      <c r="K8" s="9" t="s">
        <v>39</v>
      </c>
    </row>
    <row r="9" spans="1:11" x14ac:dyDescent="0.2">
      <c r="A9" s="10" t="s">
        <v>47</v>
      </c>
      <c r="B9" s="11">
        <f>F9/$H$20</f>
        <v>1.0666666666666667</v>
      </c>
      <c r="C9" s="12" t="e">
        <f>G9/I20</f>
        <v>#DIV/0!</v>
      </c>
      <c r="D9" s="13">
        <f>$H$20*0.75</f>
        <v>0.375</v>
      </c>
      <c r="E9" s="14">
        <f>$H$20*1.25</f>
        <v>0.625</v>
      </c>
      <c r="F9" s="14">
        <f t="shared" ref="F9:F12" si="0">I9/J9</f>
        <v>0.53333333333333333</v>
      </c>
      <c r="G9" s="15">
        <f t="shared" ref="G9:G12" si="1">H9/J9</f>
        <v>0.46666666666666667</v>
      </c>
      <c r="H9" s="16">
        <v>7</v>
      </c>
      <c r="I9" s="17">
        <v>8</v>
      </c>
      <c r="J9" s="2">
        <f t="shared" ref="J9:J12" si="2">H9+I9</f>
        <v>15</v>
      </c>
      <c r="K9" s="18" t="str">
        <f>IF(F9/$H$20&gt;1.25,"יחס דירות גדול מהמותר במכרז",IF(F9/$H$20&lt;0.75,"יחס דירות קטן מהמותר במכרז","יחס דירות תקין"))</f>
        <v>יחס דירות תקין</v>
      </c>
    </row>
    <row r="10" spans="1:11" x14ac:dyDescent="0.2">
      <c r="A10" s="10" t="s">
        <v>58</v>
      </c>
      <c r="B10" s="11">
        <f>F10/$H$20</f>
        <v>1.0666666666666667</v>
      </c>
      <c r="D10" s="13">
        <f>$H$20*0.75</f>
        <v>0.375</v>
      </c>
      <c r="E10" s="14">
        <f>$H$20*1.25</f>
        <v>0.625</v>
      </c>
      <c r="F10" s="19">
        <f t="shared" si="0"/>
        <v>0.53333333333333333</v>
      </c>
      <c r="G10" s="15">
        <f t="shared" si="1"/>
        <v>0.46666666666666667</v>
      </c>
      <c r="H10" s="16">
        <v>7</v>
      </c>
      <c r="I10" s="17">
        <v>8</v>
      </c>
      <c r="J10" s="2">
        <f t="shared" si="2"/>
        <v>15</v>
      </c>
      <c r="K10" s="18" t="str">
        <f>IF(F10/$H$20&gt;1.25,"יחס דירות גדול מהמותר במכרז",IF(F10/$H$20&lt;0.75,"יחס דירות קטן מהמותר במכרז","יחס דירות תקין"))</f>
        <v>יחס דירות תקין</v>
      </c>
    </row>
    <row r="11" spans="1:11" x14ac:dyDescent="0.2">
      <c r="A11" s="10" t="s">
        <v>64</v>
      </c>
      <c r="B11" s="11">
        <f>F11/$H$20</f>
        <v>1</v>
      </c>
      <c r="D11" s="13">
        <f>$H$20*0.75</f>
        <v>0.375</v>
      </c>
      <c r="E11" s="14">
        <f>$H$20*1.25</f>
        <v>0.625</v>
      </c>
      <c r="F11" s="14">
        <f t="shared" si="0"/>
        <v>0.5</v>
      </c>
      <c r="G11" s="15">
        <f t="shared" si="1"/>
        <v>0.5</v>
      </c>
      <c r="H11" s="16">
        <v>14</v>
      </c>
      <c r="I11" s="17">
        <v>14</v>
      </c>
      <c r="J11" s="2">
        <f t="shared" si="2"/>
        <v>28</v>
      </c>
      <c r="K11" s="18" t="str">
        <f>IF(F11/$H$20&gt;1.25,"יחס דירות גדול מהמותר במכרז",IF(F11/$H$20&lt;0.75,"יחס דירות קטן מהמותר במכרז","יחס דירות תקין"))</f>
        <v>יחס דירות תקין</v>
      </c>
    </row>
    <row r="12" spans="1:11" x14ac:dyDescent="0.2">
      <c r="A12" s="10" t="s">
        <v>73</v>
      </c>
      <c r="B12" s="11">
        <f>F12/$H$20</f>
        <v>0.97916666666666663</v>
      </c>
      <c r="D12" s="13">
        <f>$H$20*0.75</f>
        <v>0.375</v>
      </c>
      <c r="E12" s="14">
        <f>$H$20*1.25</f>
        <v>0.625</v>
      </c>
      <c r="F12" s="14">
        <f t="shared" si="0"/>
        <v>0.48958333333333331</v>
      </c>
      <c r="G12" s="15">
        <f t="shared" si="1"/>
        <v>0.51041666666666663</v>
      </c>
      <c r="H12" s="16">
        <v>49</v>
      </c>
      <c r="I12" s="17">
        <v>47</v>
      </c>
      <c r="J12" s="2">
        <f t="shared" si="2"/>
        <v>96</v>
      </c>
      <c r="K12" s="18" t="str">
        <f>IF(F12/$H$20&gt;1.25,"יחס דירות גדול מהמותר במכרז",IF(F12/$H$20&lt;0.75,"יחס דירות קטן מהמותר במכרז","יחס דירות תקין"))</f>
        <v>יחס דירות תקין</v>
      </c>
    </row>
    <row r="13" spans="1:11" ht="18.75" thickBot="1" x14ac:dyDescent="0.3">
      <c r="G13" s="20" t="s">
        <v>3</v>
      </c>
      <c r="H13" s="21">
        <f>SUM(H9:H12)</f>
        <v>77</v>
      </c>
      <c r="I13" s="22">
        <f>SUM(I9:I12)</f>
        <v>77</v>
      </c>
      <c r="J13" s="22">
        <f>SUM(J9:J12)</f>
        <v>154</v>
      </c>
    </row>
    <row r="19" spans="4:8" ht="15" thickBot="1" x14ac:dyDescent="0.25"/>
    <row r="20" spans="4:8" ht="15.75" thickBot="1" x14ac:dyDescent="0.3">
      <c r="G20" s="23" t="s">
        <v>99</v>
      </c>
      <c r="H20" s="24">
        <f>I13/J13</f>
        <v>0.5</v>
      </c>
    </row>
    <row r="26" spans="4:8" ht="15" x14ac:dyDescent="0.25">
      <c r="D26" s="1"/>
    </row>
  </sheetData>
  <mergeCells count="1">
    <mergeCell ref="G4:H4"/>
  </mergeCells>
  <conditionalFormatting sqref="B9:B12">
    <cfRule type="cellIs" dxfId="1" priority="1" operator="lessThan">
      <formula>0.75</formula>
    </cfRule>
    <cfRule type="cellIs" dxfId="0" priority="2" operator="greaterThan">
      <formula>1.25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מחיר מטרה</vt:lpstr>
      <vt:lpstr>יחס יח"ד בביניינים</vt:lpstr>
      <vt:lpstr>'מחיר מטרה'!WPrint_Area_W</vt:lpstr>
    </vt:vector>
  </TitlesOfParts>
  <Manager/>
  <Company>משרד השיכון ובינוי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יוסי ארד</dc:creator>
  <cp:keywords/>
  <dc:description/>
  <cp:lastModifiedBy>Sapir Yoel</cp:lastModifiedBy>
  <cp:revision/>
  <dcterms:created xsi:type="dcterms:W3CDTF">2014-07-23T12:03:49Z</dcterms:created>
  <dcterms:modified xsi:type="dcterms:W3CDTF">2025-03-27T12:08:23Z</dcterms:modified>
  <cp:category/>
  <cp:contentStatus/>
</cp:coreProperties>
</file>